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04" activeTab="0"/>
  </bookViews>
  <sheets>
    <sheet name="Sheet1" sheetId="1" r:id="rId1"/>
  </sheets>
  <definedNames>
    <definedName name="Gearbox_1">'Sheet1'!$G$10</definedName>
    <definedName name="Gearbox_2">'Sheet1'!$H$10</definedName>
    <definedName name="Gearbox_3">'Sheet1'!$I$10</definedName>
    <definedName name="Gearbox_4">'Sheet1'!$J$10</definedName>
    <definedName name="Gearbox_5">'Sheet1'!$K$10</definedName>
    <definedName name="Gearbox_6">'Sheet1'!$L$10</definedName>
    <definedName name="Gearbox_7">'Sheet1'!$M$10</definedName>
    <definedName name="Gearbox_8">'Sheet1'!$N$10</definedName>
    <definedName name="Gearbox_9">'Sheet1'!$O$10</definedName>
    <definedName name="GearFeed">'Sheet1'!$K$1</definedName>
    <definedName name="Inter_Gear">'Sheet1'!$E$10</definedName>
    <definedName name="Leadscrew_TPI">'Sheet1'!$E$1</definedName>
  </definedNames>
  <calcPr fullCalcOnLoad="1"/>
</workbook>
</file>

<file path=xl/sharedStrings.xml><?xml version="1.0" encoding="utf-8"?>
<sst xmlns="http://schemas.openxmlformats.org/spreadsheetml/2006/main" count="94" uniqueCount="63">
  <si>
    <t xml:space="preserve"> </t>
  </si>
  <si>
    <t>The</t>
  </si>
  <si>
    <t xml:space="preserve">Lead screw is </t>
  </si>
  <si>
    <t xml:space="preserve"> threads per inch</t>
  </si>
  <si>
    <t>Spindle is effectively gear "a" and drives the 127 tooth gear which is stacked with the 120 tooth gear</t>
  </si>
  <si>
    <r>
      <t>*** 127 tooth gear drives gear "B" for inch threads</t>
    </r>
    <r>
      <rPr>
        <sz val="10"/>
        <rFont val="Arial"/>
        <family val="2"/>
      </rPr>
      <t xml:space="preserve"> </t>
    </r>
  </si>
  <si>
    <t>*** 120 tooth gear drives gear "B" for metric threads</t>
  </si>
  <si>
    <t xml:space="preserve">  Intermediate and selector gears move together and are in series with the gear box gears</t>
  </si>
  <si>
    <t>Intermediate Selector</t>
  </si>
  <si>
    <t>Gear</t>
  </si>
  <si>
    <t>Gear Box Gears are mounted on lead screw</t>
  </si>
  <si>
    <t>Stacked Gears</t>
  </si>
  <si>
    <t xml:space="preserve"> Teeth per In. and Lever Positions are shown below </t>
  </si>
  <si>
    <t>Change</t>
  </si>
  <si>
    <t>Gear A</t>
  </si>
  <si>
    <t xml:space="preserve">Gear </t>
  </si>
  <si>
    <t>Gear B</t>
  </si>
  <si>
    <t>Pos. 1</t>
  </si>
  <si>
    <t>Pos. 2</t>
  </si>
  <si>
    <t>Pos. 3</t>
  </si>
  <si>
    <t>Pos. 4</t>
  </si>
  <si>
    <t>Pos. 5</t>
  </si>
  <si>
    <t>Pos. 6</t>
  </si>
  <si>
    <t>Pos. 7</t>
  </si>
  <si>
    <t>Pos. 8</t>
  </si>
  <si>
    <t>Pos. 9</t>
  </si>
  <si>
    <t>The following are inch change gear settings showing the more popular</t>
  </si>
  <si>
    <t>stacked gear doesn't matter</t>
  </si>
  <si>
    <t>Inch Threads</t>
  </si>
  <si>
    <t>The following are metric change gear settings showing the more useful</t>
  </si>
  <si>
    <r>
      <t>mm</t>
    </r>
    <r>
      <rPr>
        <sz val="10"/>
        <rFont val="Arial"/>
        <family val="2"/>
      </rPr>
      <t xml:space="preserve"> lead per thread settings (note that there are duplicates)</t>
    </r>
  </si>
  <si>
    <t>Metric Threads</t>
  </si>
  <si>
    <t>Ratio</t>
  </si>
  <si>
    <t>Threads are calculated by Leadscrew/(changegear ratio)*(gearbox ratio)</t>
  </si>
  <si>
    <t>upto 80</t>
  </si>
  <si>
    <t>[Range 2 to 112 TPI]</t>
  </si>
  <si>
    <t>[ Range 0.20 to 15.0 mm]</t>
  </si>
  <si>
    <t>upto ?</t>
  </si>
  <si>
    <t>[Range 4 to 80 TPI]</t>
  </si>
  <si>
    <t>[ Range 0.3 to 6.0 mm]</t>
  </si>
  <si>
    <t>clear</t>
  </si>
  <si>
    <t>Color Key</t>
  </si>
  <si>
    <t>Needs additional gears to use</t>
  </si>
  <si>
    <t>New standard thread sizes available with additional gearing</t>
  </si>
  <si>
    <t>Gears comes with 9x20 lathe</t>
  </si>
  <si>
    <t>Gear needs to be made to make additional threading</t>
  </si>
  <si>
    <t>unused setting or nontypical thread</t>
  </si>
  <si>
    <t>Standard thread sizes with initial gears</t>
  </si>
  <si>
    <t>You would need to buy an additional 120T gear</t>
  </si>
  <si>
    <t>Gear Feed Ratio</t>
  </si>
  <si>
    <t>(change the gear value in the line below)</t>
  </si>
  <si>
    <t>IMPERIAL GEAR FEED RATES - Put in the gears on the left side and read the feed rate below</t>
  </si>
  <si>
    <t>Metric GEAR FEED RATES - Put in the gears on the left side and read the feed rate below</t>
  </si>
  <si>
    <t>Feed Rates in inches</t>
  </si>
  <si>
    <t>Feed Rates in mm</t>
  </si>
  <si>
    <t>aproximate Feed Rate per Revolution (in inches)</t>
  </si>
  <si>
    <t>approximateFeed Rate per Revolution (in inches)</t>
  </si>
  <si>
    <t>approximate Feed Rate per Revolution (in mm)</t>
  </si>
  <si>
    <t>NOTE: on the feed rates, if you change the 127/120 ratio, you can get slower feed rates.</t>
  </si>
  <si>
    <t>Example, swap the 120 and the 60 gears to get slow feed rates.</t>
  </si>
  <si>
    <t>Feed Rate Ranges</t>
  </si>
  <si>
    <t>Gear Selection</t>
  </si>
  <si>
    <t>Also, if you use the 120 gear on the B shaft, you will need to modify (cut and bend away) the bottom of the gear cover so it doesn't rub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</si>
</sst>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0" fillId="2" borderId="1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7" borderId="16" xfId="0" applyFon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 horizontal="left"/>
    </xf>
    <xf numFmtId="0" fontId="0" fillId="4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7" borderId="18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8" borderId="18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0" fillId="9" borderId="18" xfId="0" applyFont="1" applyFill="1" applyBorder="1" applyAlignment="1">
      <alignment/>
    </xf>
    <xf numFmtId="0" fontId="0" fillId="9" borderId="18" xfId="0" applyFill="1" applyBorder="1" applyAlignment="1">
      <alignment/>
    </xf>
    <xf numFmtId="0" fontId="1" fillId="3" borderId="0" xfId="0" applyFont="1" applyFill="1" applyAlignment="1">
      <alignment horizontal="left"/>
    </xf>
    <xf numFmtId="169" fontId="0" fillId="2" borderId="19" xfId="0" applyNumberFormat="1" applyFont="1" applyFill="1" applyBorder="1" applyAlignment="1">
      <alignment horizontal="center"/>
    </xf>
    <xf numFmtId="169" fontId="0" fillId="2" borderId="20" xfId="0" applyNumberFormat="1" applyFont="1" applyFill="1" applyBorder="1" applyAlignment="1">
      <alignment horizontal="center"/>
    </xf>
    <xf numFmtId="169" fontId="0" fillId="8" borderId="18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79">
      <selection activeCell="S93" sqref="S93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7.140625" style="0" customWidth="1"/>
    <col min="4" max="4" width="8.57421875" style="0" customWidth="1"/>
    <col min="5" max="5" width="8.00390625" style="0" customWidth="1"/>
    <col min="6" max="6" width="8.421875" style="0" customWidth="1"/>
    <col min="7" max="7" width="9.140625" style="0" bestFit="1" customWidth="1"/>
    <col min="8" max="8" width="8.140625" style="0" customWidth="1"/>
    <col min="9" max="9" width="8.7109375" style="0" customWidth="1"/>
    <col min="10" max="10" width="8.28125" style="0" customWidth="1"/>
    <col min="11" max="11" width="8.421875" style="0" customWidth="1"/>
    <col min="12" max="12" width="8.28125" style="0" customWidth="1"/>
    <col min="13" max="13" width="8.421875" style="0" customWidth="1"/>
    <col min="14" max="14" width="7.8515625" style="0" customWidth="1"/>
    <col min="15" max="15" width="8.140625" style="0" customWidth="1"/>
    <col min="16" max="16" width="9.140625" style="43" bestFit="1" customWidth="1"/>
  </cols>
  <sheetData>
    <row r="1" spans="1:15" ht="12.75">
      <c r="A1" s="1" t="s">
        <v>0</v>
      </c>
      <c r="B1" s="2" t="s">
        <v>1</v>
      </c>
      <c r="C1" s="3" t="s">
        <v>2</v>
      </c>
      <c r="D1" s="4"/>
      <c r="E1" s="1">
        <v>16</v>
      </c>
      <c r="F1" s="3" t="s">
        <v>3</v>
      </c>
      <c r="G1" s="3"/>
      <c r="H1" s="4"/>
      <c r="I1" s="3" t="s">
        <v>49</v>
      </c>
      <c r="J1" s="4"/>
      <c r="K1" s="3">
        <v>3.1496</v>
      </c>
      <c r="L1" s="4"/>
      <c r="M1" s="4"/>
      <c r="N1" t="s">
        <v>41</v>
      </c>
      <c r="O1" s="5"/>
    </row>
    <row r="2" spans="1:15" ht="12.75">
      <c r="A2" s="6" t="s">
        <v>0</v>
      </c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2"/>
      <c r="O2" s="60" t="s">
        <v>45</v>
      </c>
    </row>
    <row r="3" spans="1:15" ht="12.75">
      <c r="A3" s="6"/>
      <c r="B3" s="7"/>
      <c r="C3" s="4"/>
      <c r="D3" s="7" t="s">
        <v>5</v>
      </c>
      <c r="E3" s="4"/>
      <c r="F3" s="4"/>
      <c r="G3" s="4"/>
      <c r="H3" s="4"/>
      <c r="I3" s="4"/>
      <c r="J3" s="4"/>
      <c r="K3" s="4"/>
      <c r="L3" s="4"/>
      <c r="M3" s="4"/>
      <c r="N3" s="73"/>
      <c r="O3" s="60" t="s">
        <v>46</v>
      </c>
    </row>
    <row r="4" spans="1:15" ht="12.75">
      <c r="A4" s="6"/>
      <c r="B4" s="7"/>
      <c r="C4" s="4"/>
      <c r="D4" s="7" t="s">
        <v>6</v>
      </c>
      <c r="E4" s="4"/>
      <c r="F4" s="4"/>
      <c r="G4" s="4"/>
      <c r="H4" s="4"/>
      <c r="I4" s="4"/>
      <c r="J4" s="4"/>
      <c r="K4" s="4"/>
      <c r="L4" s="4"/>
      <c r="M4" s="4"/>
      <c r="N4" s="74"/>
      <c r="O4" s="60" t="s">
        <v>47</v>
      </c>
    </row>
    <row r="5" spans="1:15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5"/>
      <c r="O5" s="70" t="s">
        <v>43</v>
      </c>
    </row>
    <row r="6" spans="1:15" ht="12.75">
      <c r="A6" s="6"/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  <c r="M6" s="4"/>
      <c r="N6" s="76" t="s">
        <v>40</v>
      </c>
      <c r="O6" s="60" t="s">
        <v>44</v>
      </c>
    </row>
    <row r="7" spans="1:15" ht="12.75">
      <c r="A7" s="6"/>
      <c r="B7" s="4"/>
      <c r="C7" s="4"/>
      <c r="D7" s="4"/>
      <c r="E7" s="8"/>
      <c r="F7" s="9" t="s">
        <v>8</v>
      </c>
      <c r="G7" s="10"/>
      <c r="H7" s="5"/>
      <c r="I7" s="5"/>
      <c r="J7" s="5"/>
      <c r="K7" s="5"/>
      <c r="L7" s="5"/>
      <c r="M7" s="5"/>
      <c r="N7" s="77"/>
      <c r="O7" s="60" t="s">
        <v>42</v>
      </c>
    </row>
    <row r="8" spans="1:15" ht="12.75">
      <c r="A8" s="4"/>
      <c r="B8" s="4"/>
      <c r="C8" s="4"/>
      <c r="D8" s="4"/>
      <c r="E8" s="11" t="s">
        <v>9</v>
      </c>
      <c r="F8" s="12" t="s">
        <v>9</v>
      </c>
      <c r="G8" s="13"/>
      <c r="H8" s="14" t="s">
        <v>10</v>
      </c>
      <c r="I8" s="5"/>
      <c r="J8" s="5"/>
      <c r="K8" s="5"/>
      <c r="L8" s="5"/>
      <c r="M8" s="5"/>
      <c r="N8" s="82"/>
      <c r="O8" s="70" t="s">
        <v>53</v>
      </c>
    </row>
    <row r="9" spans="1:15" ht="12.75">
      <c r="A9" s="1"/>
      <c r="B9" s="15" t="s">
        <v>11</v>
      </c>
      <c r="C9" s="16"/>
      <c r="D9" s="15" t="s">
        <v>11</v>
      </c>
      <c r="E9" s="17"/>
      <c r="F9" s="3"/>
      <c r="G9" s="13"/>
      <c r="H9" s="4" t="s">
        <v>12</v>
      </c>
      <c r="I9" s="4"/>
      <c r="J9" s="4"/>
      <c r="K9" s="4"/>
      <c r="L9" s="4"/>
      <c r="M9" s="4"/>
      <c r="N9" s="86"/>
      <c r="O9" s="70" t="s">
        <v>54</v>
      </c>
    </row>
    <row r="10" spans="1:16" ht="12.75">
      <c r="A10" s="18" t="s">
        <v>13</v>
      </c>
      <c r="B10" s="19">
        <v>127</v>
      </c>
      <c r="C10" s="20">
        <v>120</v>
      </c>
      <c r="D10" s="18" t="s">
        <v>13</v>
      </c>
      <c r="E10" s="21">
        <v>16</v>
      </c>
      <c r="F10" s="22">
        <v>36</v>
      </c>
      <c r="G10" s="23">
        <v>16</v>
      </c>
      <c r="H10" s="22">
        <v>18</v>
      </c>
      <c r="I10" s="22">
        <v>19</v>
      </c>
      <c r="J10" s="22">
        <v>20</v>
      </c>
      <c r="K10" s="22">
        <v>22</v>
      </c>
      <c r="L10" s="22">
        <v>23</v>
      </c>
      <c r="M10" s="22">
        <v>24</v>
      </c>
      <c r="N10" s="22">
        <v>26</v>
      </c>
      <c r="O10" s="24">
        <v>28</v>
      </c>
      <c r="P10" s="43" t="s">
        <v>32</v>
      </c>
    </row>
    <row r="11" spans="1:15" ht="12.75">
      <c r="A11" s="25" t="s">
        <v>14</v>
      </c>
      <c r="B11" s="26" t="s">
        <v>15</v>
      </c>
      <c r="C11" s="27" t="s">
        <v>15</v>
      </c>
      <c r="D11" s="25" t="s">
        <v>16</v>
      </c>
      <c r="E11" s="28" t="s">
        <v>9</v>
      </c>
      <c r="F11" s="29" t="s">
        <v>9</v>
      </c>
      <c r="G11" s="30" t="s">
        <v>17</v>
      </c>
      <c r="H11" s="25" t="s">
        <v>18</v>
      </c>
      <c r="I11" s="25" t="s">
        <v>19</v>
      </c>
      <c r="J11" s="25" t="s">
        <v>20</v>
      </c>
      <c r="K11" s="25" t="s">
        <v>21</v>
      </c>
      <c r="L11" s="25" t="s">
        <v>22</v>
      </c>
      <c r="M11" s="25" t="s">
        <v>23</v>
      </c>
      <c r="N11" s="25" t="s">
        <v>24</v>
      </c>
      <c r="O11" s="25" t="s">
        <v>25</v>
      </c>
    </row>
    <row r="12" spans="1:15" ht="12.75">
      <c r="A12" s="47" t="s">
        <v>37</v>
      </c>
      <c r="B12" s="31"/>
      <c r="C12" s="31"/>
      <c r="D12" s="47" t="s">
        <v>34</v>
      </c>
      <c r="E12" s="31"/>
      <c r="F12" s="31"/>
      <c r="G12" s="32" t="s">
        <v>26</v>
      </c>
      <c r="H12" s="31"/>
      <c r="I12" s="31"/>
      <c r="J12" s="31"/>
      <c r="K12" s="31"/>
      <c r="L12" s="31"/>
      <c r="M12" s="31"/>
      <c r="N12" s="31"/>
      <c r="O12" s="33"/>
    </row>
    <row r="13" spans="1:17" ht="12.75">
      <c r="A13" s="31"/>
      <c r="B13" s="34" t="s">
        <v>27</v>
      </c>
      <c r="C13" s="31"/>
      <c r="D13" s="31"/>
      <c r="E13" s="31"/>
      <c r="F13" s="31"/>
      <c r="G13" s="35" t="s">
        <v>28</v>
      </c>
      <c r="H13" s="31"/>
      <c r="I13" s="34" t="s">
        <v>35</v>
      </c>
      <c r="J13" s="31"/>
      <c r="L13" s="34" t="s">
        <v>38</v>
      </c>
      <c r="M13" s="31"/>
      <c r="N13" s="31"/>
      <c r="O13" s="33"/>
      <c r="Q13" t="s">
        <v>33</v>
      </c>
    </row>
    <row r="14" spans="1:16" ht="12.75">
      <c r="A14" s="36">
        <v>120</v>
      </c>
      <c r="B14" s="37">
        <v>127</v>
      </c>
      <c r="C14" s="36"/>
      <c r="D14" s="36">
        <v>30</v>
      </c>
      <c r="E14" s="38"/>
      <c r="F14" s="38"/>
      <c r="G14" s="48">
        <f aca="true" t="shared" si="0" ref="G14:G31">Leadscrew_TPI/($A14/$D14)*(Gearbox_1/Inter_Gear)</f>
        <v>4</v>
      </c>
      <c r="H14" s="48">
        <f aca="true" t="shared" si="1" ref="H14:H31">Leadscrew_TPI/($A14/$D14)*(Gearbox_2/Inter_Gear)</f>
        <v>4.5</v>
      </c>
      <c r="I14" s="46">
        <f aca="true" t="shared" si="2" ref="I14:I31">Leadscrew_TPI/($A14/$D14)*(Gearbox_3/Inter_Gear)</f>
        <v>4.75</v>
      </c>
      <c r="J14" s="48">
        <f aca="true" t="shared" si="3" ref="J14:J31">Leadscrew_TPI/($A14/$D14)*(Gearbox_4/Inter_Gear)</f>
        <v>5</v>
      </c>
      <c r="K14" s="46">
        <f aca="true" t="shared" si="4" ref="K14:K31">Leadscrew_TPI/($A14/$D14)*(Gearbox_5/Inter_Gear)</f>
        <v>5.5</v>
      </c>
      <c r="L14" s="46">
        <f aca="true" t="shared" si="5" ref="L14:L31">Leadscrew_TPI/($A14/$D14)*(Gearbox_6/Inter_Gear)</f>
        <v>5.75</v>
      </c>
      <c r="M14" s="48">
        <f aca="true" t="shared" si="6" ref="M14:M31">Leadscrew_TPI/($A14/$D14)*(Gearbox_7/Inter_Gear)</f>
        <v>6</v>
      </c>
      <c r="N14" s="46">
        <f aca="true" t="shared" si="7" ref="N14:N31">Leadscrew_TPI/($A14/$D14)*(Gearbox_8/Inter_Gear)</f>
        <v>6.5</v>
      </c>
      <c r="O14" s="52">
        <f aca="true" t="shared" si="8" ref="O14:O31">Leadscrew_TPI/($A14/$D14)*(Gearbox_9/Inter_Gear)</f>
        <v>7</v>
      </c>
      <c r="P14" s="44">
        <f>D14/A14</f>
        <v>0.25</v>
      </c>
    </row>
    <row r="15" spans="1:16" ht="12.75">
      <c r="A15" s="53">
        <v>80</v>
      </c>
      <c r="B15" s="55">
        <v>127</v>
      </c>
      <c r="C15" s="53"/>
      <c r="D15" s="53">
        <v>30</v>
      </c>
      <c r="E15" s="54"/>
      <c r="F15" s="54"/>
      <c r="G15" s="48">
        <f>Leadscrew_TPI/($A15/$D15)*(Gearbox_1/Inter_Gear)</f>
        <v>6</v>
      </c>
      <c r="H15" s="46">
        <f>Leadscrew_TPI/($A15/$D15)*(Gearbox_2/Inter_Gear)</f>
        <v>6.75</v>
      </c>
      <c r="I15" s="46">
        <f>Leadscrew_TPI/($A15/$D15)*(Gearbox_3/Inter_Gear)</f>
        <v>7.125</v>
      </c>
      <c r="J15" s="46">
        <f>Leadscrew_TPI/($A15/$D15)*(Gearbox_4/Inter_Gear)</f>
        <v>7.5</v>
      </c>
      <c r="K15" s="46">
        <f>Leadscrew_TPI/($A15/$D15)*(Gearbox_5/Inter_Gear)</f>
        <v>8.25</v>
      </c>
      <c r="L15" s="46">
        <f>Leadscrew_TPI/($A15/$D15)*(Gearbox_6/Inter_Gear)</f>
        <v>8.625</v>
      </c>
      <c r="M15" s="48">
        <f>Leadscrew_TPI/($A15/$D15)*(Gearbox_7/Inter_Gear)</f>
        <v>9</v>
      </c>
      <c r="N15" s="46">
        <f>Leadscrew_TPI/($A15/$D15)*(Gearbox_8/Inter_Gear)</f>
        <v>9.75</v>
      </c>
      <c r="O15" s="45">
        <f>Leadscrew_TPI/($A15/$D15)*(Gearbox_9/Inter_Gear)</f>
        <v>10.5</v>
      </c>
      <c r="P15" s="44">
        <f>D15/A15</f>
        <v>0.375</v>
      </c>
    </row>
    <row r="16" spans="1:16" ht="12.75">
      <c r="A16" s="36">
        <v>60</v>
      </c>
      <c r="B16" s="37">
        <v>127</v>
      </c>
      <c r="C16" s="36"/>
      <c r="D16" s="36">
        <v>30</v>
      </c>
      <c r="E16" s="38"/>
      <c r="F16" s="38"/>
      <c r="G16" s="48">
        <f t="shared" si="0"/>
        <v>8</v>
      </c>
      <c r="H16" s="48">
        <f t="shared" si="1"/>
        <v>9</v>
      </c>
      <c r="I16" s="46">
        <f t="shared" si="2"/>
        <v>9.5</v>
      </c>
      <c r="J16" s="48">
        <f t="shared" si="3"/>
        <v>10</v>
      </c>
      <c r="K16" s="48">
        <f t="shared" si="4"/>
        <v>11</v>
      </c>
      <c r="L16" s="48">
        <f t="shared" si="5"/>
        <v>11.5</v>
      </c>
      <c r="M16" s="48">
        <f t="shared" si="6"/>
        <v>12</v>
      </c>
      <c r="N16" s="48">
        <f t="shared" si="7"/>
        <v>13</v>
      </c>
      <c r="O16" s="52">
        <f t="shared" si="8"/>
        <v>14</v>
      </c>
      <c r="P16" s="44">
        <f>D16/A16</f>
        <v>0.5</v>
      </c>
    </row>
    <row r="17" spans="1:16" ht="12.75">
      <c r="A17" s="36">
        <v>30</v>
      </c>
      <c r="B17" s="37">
        <v>127</v>
      </c>
      <c r="C17" s="36"/>
      <c r="D17" s="36">
        <v>30</v>
      </c>
      <c r="E17" s="38"/>
      <c r="F17" s="38"/>
      <c r="G17" s="48">
        <f t="shared" si="0"/>
        <v>16</v>
      </c>
      <c r="H17" s="48">
        <f t="shared" si="1"/>
        <v>18</v>
      </c>
      <c r="I17" s="48">
        <f t="shared" si="2"/>
        <v>19</v>
      </c>
      <c r="J17" s="48">
        <f t="shared" si="3"/>
        <v>20</v>
      </c>
      <c r="K17" s="48">
        <f t="shared" si="4"/>
        <v>22</v>
      </c>
      <c r="L17" s="48">
        <f t="shared" si="5"/>
        <v>23</v>
      </c>
      <c r="M17" s="48">
        <f t="shared" si="6"/>
        <v>24</v>
      </c>
      <c r="N17" s="48">
        <f t="shared" si="7"/>
        <v>26</v>
      </c>
      <c r="O17" s="52">
        <f t="shared" si="8"/>
        <v>28</v>
      </c>
      <c r="P17" s="24">
        <v>1</v>
      </c>
    </row>
    <row r="18" spans="1:16" ht="12.75">
      <c r="A18" s="36">
        <v>30</v>
      </c>
      <c r="B18" s="37">
        <v>127</v>
      </c>
      <c r="C18" s="36"/>
      <c r="D18" s="36">
        <v>60</v>
      </c>
      <c r="E18" s="38"/>
      <c r="F18" s="38"/>
      <c r="G18" s="48">
        <f t="shared" si="0"/>
        <v>32</v>
      </c>
      <c r="H18" s="48">
        <f t="shared" si="1"/>
        <v>36</v>
      </c>
      <c r="I18" s="48">
        <f t="shared" si="2"/>
        <v>38</v>
      </c>
      <c r="J18" s="48">
        <f t="shared" si="3"/>
        <v>40</v>
      </c>
      <c r="K18" s="48">
        <f t="shared" si="4"/>
        <v>44</v>
      </c>
      <c r="L18" s="48">
        <f t="shared" si="5"/>
        <v>46</v>
      </c>
      <c r="M18" s="48">
        <f t="shared" si="6"/>
        <v>48</v>
      </c>
      <c r="N18" s="48">
        <f t="shared" si="7"/>
        <v>52</v>
      </c>
      <c r="O18" s="52">
        <f t="shared" si="8"/>
        <v>56</v>
      </c>
      <c r="P18" s="24">
        <f aca="true" t="shared" si="9" ref="P18:P24">D18/A18</f>
        <v>2</v>
      </c>
    </row>
    <row r="19" spans="1:16" ht="12.75">
      <c r="A19" s="36">
        <v>30</v>
      </c>
      <c r="B19" s="37">
        <v>127</v>
      </c>
      <c r="C19" s="36"/>
      <c r="D19" s="36">
        <v>80</v>
      </c>
      <c r="E19" s="38"/>
      <c r="F19" s="38"/>
      <c r="G19" s="46">
        <f t="shared" si="0"/>
        <v>42.666666666666664</v>
      </c>
      <c r="H19" s="48">
        <f t="shared" si="1"/>
        <v>48</v>
      </c>
      <c r="I19" s="46">
        <f t="shared" si="2"/>
        <v>50.666666666666664</v>
      </c>
      <c r="J19" s="46">
        <f t="shared" si="3"/>
        <v>53.33333333333333</v>
      </c>
      <c r="K19" s="46">
        <f t="shared" si="4"/>
        <v>58.666666666666664</v>
      </c>
      <c r="L19" s="46">
        <f t="shared" si="5"/>
        <v>61.33333333333333</v>
      </c>
      <c r="M19" s="48">
        <f t="shared" si="6"/>
        <v>64</v>
      </c>
      <c r="N19" s="46">
        <f t="shared" si="7"/>
        <v>69.33333333333333</v>
      </c>
      <c r="O19" s="45">
        <f t="shared" si="8"/>
        <v>74.66666666666666</v>
      </c>
      <c r="P19" s="24">
        <f t="shared" si="9"/>
        <v>2.6666666666666665</v>
      </c>
    </row>
    <row r="20" spans="1:16" ht="12.75">
      <c r="A20" s="53">
        <v>28</v>
      </c>
      <c r="B20" s="55">
        <v>127</v>
      </c>
      <c r="C20" s="53"/>
      <c r="D20" s="53">
        <v>80</v>
      </c>
      <c r="E20" s="54"/>
      <c r="F20" s="54"/>
      <c r="G20" s="46">
        <f>Leadscrew_TPI/($A20/$D20)*(Gearbox_1/Inter_Gear)</f>
        <v>45.714285714285715</v>
      </c>
      <c r="H20" s="46">
        <f>Leadscrew_TPI/($A20/$D20)*(Gearbox_2/Inter_Gear)</f>
        <v>51.42857142857143</v>
      </c>
      <c r="I20" s="46">
        <f>Leadscrew_TPI/($A20/$D20)*(Gearbox_3/Inter_Gear)</f>
        <v>54.285714285714285</v>
      </c>
      <c r="J20" s="46">
        <f>Leadscrew_TPI/($A20/$D20)*(Gearbox_4/Inter_Gear)</f>
        <v>57.142857142857146</v>
      </c>
      <c r="K20" s="46">
        <f>Leadscrew_TPI/($A20/$D20)*(Gearbox_5/Inter_Gear)</f>
        <v>62.85714285714286</v>
      </c>
      <c r="L20" s="46">
        <f>Leadscrew_TPI/($A20/$D20)*(Gearbox_6/Inter_Gear)</f>
        <v>65.71428571428572</v>
      </c>
      <c r="M20" s="46">
        <f>Leadscrew_TPI/($A20/$D20)*(Gearbox_7/Inter_Gear)</f>
        <v>68.57142857142857</v>
      </c>
      <c r="N20" s="46">
        <f>Leadscrew_TPI/($A20/$D20)*(Gearbox_8/Inter_Gear)</f>
        <v>74.28571428571429</v>
      </c>
      <c r="O20" s="52">
        <f>Leadscrew_TPI/($A20/$D20)*(Gearbox_9/Inter_Gear)</f>
        <v>80</v>
      </c>
      <c r="P20" s="24">
        <f>D20/A20</f>
        <v>2.857142857142857</v>
      </c>
    </row>
    <row r="21" spans="1:16" ht="12.75">
      <c r="A21" s="51">
        <v>40</v>
      </c>
      <c r="B21" s="55">
        <v>127</v>
      </c>
      <c r="C21" s="53"/>
      <c r="D21" s="53">
        <v>60</v>
      </c>
      <c r="E21" s="61"/>
      <c r="F21" s="61"/>
      <c r="G21" s="48">
        <f>Leadscrew_TPI/($A21/$D21)*(Gearbox_1/Inter_Gear)</f>
        <v>24</v>
      </c>
      <c r="H21" s="56">
        <f>Leadscrew_TPI/($A21/$D21)*(Gearbox_2/Inter_Gear)</f>
        <v>27</v>
      </c>
      <c r="I21" s="46">
        <f>Leadscrew_TPI/($A21/$D21)*(Gearbox_3/Inter_Gear)</f>
        <v>28.5</v>
      </c>
      <c r="J21" s="48">
        <f>Leadscrew_TPI/($A21/$D21)*(Gearbox_4/Inter_Gear)</f>
        <v>30</v>
      </c>
      <c r="K21" s="46">
        <f>Leadscrew_TPI/($A21/$D21)*(Gearbox_5/Inter_Gear)</f>
        <v>33</v>
      </c>
      <c r="L21" s="46">
        <f>Leadscrew_TPI/($A21/$D21)*(Gearbox_6/Inter_Gear)</f>
        <v>34.5</v>
      </c>
      <c r="M21" s="48">
        <f>Leadscrew_TPI/($A21/$D21)*(Gearbox_7/Inter_Gear)</f>
        <v>36</v>
      </c>
      <c r="N21" s="46">
        <f>Leadscrew_TPI/($A21/$D21)*(Gearbox_8/Inter_Gear)</f>
        <v>39</v>
      </c>
      <c r="O21" s="45">
        <f>Leadscrew_TPI/($A21/$D21)*(Gearbox_9/Inter_Gear)</f>
        <v>42</v>
      </c>
      <c r="P21" s="24">
        <f>D21/A21</f>
        <v>1.5</v>
      </c>
    </row>
    <row r="22" spans="1:16" ht="12.75">
      <c r="A22" s="51">
        <v>40</v>
      </c>
      <c r="B22" s="55">
        <v>127</v>
      </c>
      <c r="C22" s="53"/>
      <c r="D22" s="53">
        <v>80</v>
      </c>
      <c r="E22" s="61"/>
      <c r="F22" s="61"/>
      <c r="G22" s="48">
        <f t="shared" si="0"/>
        <v>32</v>
      </c>
      <c r="H22" s="48">
        <f t="shared" si="1"/>
        <v>36</v>
      </c>
      <c r="I22" s="48">
        <f t="shared" si="2"/>
        <v>38</v>
      </c>
      <c r="J22" s="48">
        <f t="shared" si="3"/>
        <v>40</v>
      </c>
      <c r="K22" s="48">
        <f t="shared" si="4"/>
        <v>44</v>
      </c>
      <c r="L22" s="48">
        <f t="shared" si="5"/>
        <v>46</v>
      </c>
      <c r="M22" s="48">
        <f t="shared" si="6"/>
        <v>48</v>
      </c>
      <c r="N22" s="48">
        <f t="shared" si="7"/>
        <v>52</v>
      </c>
      <c r="O22" s="52">
        <f t="shared" si="8"/>
        <v>56</v>
      </c>
      <c r="P22" s="24">
        <f t="shared" si="9"/>
        <v>2</v>
      </c>
    </row>
    <row r="23" spans="1:16" ht="12.75">
      <c r="A23" s="51">
        <v>20</v>
      </c>
      <c r="B23" s="55">
        <v>127</v>
      </c>
      <c r="C23" s="53"/>
      <c r="D23" s="53">
        <v>60</v>
      </c>
      <c r="E23" s="61"/>
      <c r="F23" s="61"/>
      <c r="G23" s="46">
        <f t="shared" si="0"/>
        <v>48</v>
      </c>
      <c r="H23" s="46">
        <f t="shared" si="1"/>
        <v>54</v>
      </c>
      <c r="I23" s="46">
        <f t="shared" si="2"/>
        <v>57</v>
      </c>
      <c r="J23" s="46">
        <f t="shared" si="3"/>
        <v>60</v>
      </c>
      <c r="K23" s="46">
        <f t="shared" si="4"/>
        <v>66</v>
      </c>
      <c r="L23" s="46">
        <f t="shared" si="5"/>
        <v>69</v>
      </c>
      <c r="M23" s="56">
        <f t="shared" si="6"/>
        <v>72</v>
      </c>
      <c r="N23" s="46">
        <f t="shared" si="7"/>
        <v>78</v>
      </c>
      <c r="O23" s="45">
        <f t="shared" si="8"/>
        <v>84</v>
      </c>
      <c r="P23" s="24">
        <f t="shared" si="9"/>
        <v>3</v>
      </c>
    </row>
    <row r="24" spans="1:16" ht="12.75">
      <c r="A24" s="51">
        <v>20</v>
      </c>
      <c r="B24" s="55">
        <v>127</v>
      </c>
      <c r="C24" s="53"/>
      <c r="D24" s="53">
        <v>80</v>
      </c>
      <c r="E24" s="61"/>
      <c r="F24" s="61"/>
      <c r="G24" s="48">
        <f t="shared" si="0"/>
        <v>64</v>
      </c>
      <c r="H24" s="56">
        <f t="shared" si="1"/>
        <v>72</v>
      </c>
      <c r="I24" s="46">
        <f t="shared" si="2"/>
        <v>76</v>
      </c>
      <c r="J24" s="48">
        <f t="shared" si="3"/>
        <v>80</v>
      </c>
      <c r="K24" s="46">
        <f t="shared" si="4"/>
        <v>88</v>
      </c>
      <c r="L24" s="46">
        <f t="shared" si="5"/>
        <v>92</v>
      </c>
      <c r="M24" s="46">
        <f t="shared" si="6"/>
        <v>96</v>
      </c>
      <c r="N24" s="46">
        <f t="shared" si="7"/>
        <v>104</v>
      </c>
      <c r="O24" s="45">
        <f t="shared" si="8"/>
        <v>112</v>
      </c>
      <c r="P24" s="24">
        <f t="shared" si="9"/>
        <v>4</v>
      </c>
    </row>
    <row r="25" spans="1:16" ht="12.75">
      <c r="A25" s="53">
        <v>28</v>
      </c>
      <c r="B25" s="55">
        <v>127</v>
      </c>
      <c r="C25" s="53"/>
      <c r="D25" s="51">
        <v>72</v>
      </c>
      <c r="E25" s="61"/>
      <c r="F25" s="61"/>
      <c r="G25" s="46">
        <f aca="true" t="shared" si="10" ref="G25:G30">Leadscrew_TPI/($A25/$D25)*(Gearbox_1/Inter_Gear)</f>
        <v>41.14285714285714</v>
      </c>
      <c r="H25" s="46">
        <f aca="true" t="shared" si="11" ref="H25:H30">Leadscrew_TPI/($A25/$D25)*(Gearbox_2/Inter_Gear)</f>
        <v>46.28571428571428</v>
      </c>
      <c r="I25" s="46">
        <f aca="true" t="shared" si="12" ref="I25:I30">Leadscrew_TPI/($A25/$D25)*(Gearbox_3/Inter_Gear)</f>
        <v>48.857142857142854</v>
      </c>
      <c r="J25" s="46">
        <f aca="true" t="shared" si="13" ref="J25:J30">Leadscrew_TPI/($A25/$D25)*(Gearbox_4/Inter_Gear)</f>
        <v>51.42857142857142</v>
      </c>
      <c r="K25" s="46">
        <f aca="true" t="shared" si="14" ref="K25:K30">Leadscrew_TPI/($A25/$D25)*(Gearbox_5/Inter_Gear)</f>
        <v>56.57142857142857</v>
      </c>
      <c r="L25" s="46">
        <f aca="true" t="shared" si="15" ref="L25:L30">Leadscrew_TPI/($A25/$D25)*(Gearbox_6/Inter_Gear)</f>
        <v>59.14285714285714</v>
      </c>
      <c r="M25" s="46">
        <f aca="true" t="shared" si="16" ref="M25:M30">Leadscrew_TPI/($A25/$D25)*(Gearbox_7/Inter_Gear)</f>
        <v>61.71428571428571</v>
      </c>
      <c r="N25" s="46">
        <f aca="true" t="shared" si="17" ref="N25:N30">Leadscrew_TPI/($A25/$D25)*(Gearbox_8/Inter_Gear)</f>
        <v>66.85714285714285</v>
      </c>
      <c r="O25" s="58">
        <f aca="true" t="shared" si="18" ref="O25:O30">Leadscrew_TPI/($A25/$D25)*(Gearbox_9/Inter_Gear)</f>
        <v>72</v>
      </c>
      <c r="P25" s="24">
        <f aca="true" t="shared" si="19" ref="P25:P32">D25/A25</f>
        <v>2.5714285714285716</v>
      </c>
    </row>
    <row r="26" spans="1:16" ht="12.75">
      <c r="A26" s="53">
        <v>36</v>
      </c>
      <c r="B26" s="55">
        <v>127</v>
      </c>
      <c r="C26" s="53"/>
      <c r="D26" s="51">
        <v>50</v>
      </c>
      <c r="E26" s="61"/>
      <c r="F26" s="61"/>
      <c r="G26" s="46">
        <f t="shared" si="10"/>
        <v>22.22222222222222</v>
      </c>
      <c r="H26" s="48">
        <f t="shared" si="11"/>
        <v>25</v>
      </c>
      <c r="I26" s="46">
        <f t="shared" si="12"/>
        <v>26.38888888888889</v>
      </c>
      <c r="J26" s="46">
        <f t="shared" si="13"/>
        <v>27.77777777777778</v>
      </c>
      <c r="K26" s="46">
        <f t="shared" si="14"/>
        <v>30.555555555555554</v>
      </c>
      <c r="L26" s="46">
        <f t="shared" si="15"/>
        <v>31.944444444444443</v>
      </c>
      <c r="M26" s="46">
        <f t="shared" si="16"/>
        <v>33.33333333333333</v>
      </c>
      <c r="N26" s="46">
        <f t="shared" si="17"/>
        <v>36.11111111111111</v>
      </c>
      <c r="O26" s="45">
        <f t="shared" si="18"/>
        <v>38.888888888888886</v>
      </c>
      <c r="P26" s="24">
        <f t="shared" si="19"/>
        <v>1.3888888888888888</v>
      </c>
    </row>
    <row r="27" spans="1:16" ht="12.75">
      <c r="A27" s="53">
        <v>36</v>
      </c>
      <c r="B27" s="55">
        <v>127</v>
      </c>
      <c r="C27" s="53"/>
      <c r="D27" s="51">
        <v>100</v>
      </c>
      <c r="E27" s="61"/>
      <c r="F27" s="61"/>
      <c r="G27" s="46">
        <f t="shared" si="10"/>
        <v>44.44444444444444</v>
      </c>
      <c r="H27" s="48">
        <f t="shared" si="11"/>
        <v>50</v>
      </c>
      <c r="I27" s="46">
        <f t="shared" si="12"/>
        <v>52.77777777777778</v>
      </c>
      <c r="J27" s="46">
        <f t="shared" si="13"/>
        <v>55.55555555555556</v>
      </c>
      <c r="K27" s="46">
        <f t="shared" si="14"/>
        <v>61.11111111111111</v>
      </c>
      <c r="L27" s="46">
        <f t="shared" si="15"/>
        <v>63.888888888888886</v>
      </c>
      <c r="M27" s="46">
        <f t="shared" si="16"/>
        <v>66.66666666666666</v>
      </c>
      <c r="N27" s="46">
        <f t="shared" si="17"/>
        <v>72.22222222222221</v>
      </c>
      <c r="O27" s="45">
        <f t="shared" si="18"/>
        <v>77.77777777777777</v>
      </c>
      <c r="P27" s="24">
        <f t="shared" si="19"/>
        <v>2.7777777777777777</v>
      </c>
    </row>
    <row r="28" spans="1:16" ht="12.75">
      <c r="A28" s="53">
        <v>36</v>
      </c>
      <c r="B28" s="55">
        <v>127</v>
      </c>
      <c r="C28" s="53"/>
      <c r="D28" s="51">
        <v>75</v>
      </c>
      <c r="E28" s="61"/>
      <c r="F28" s="61"/>
      <c r="G28" s="46">
        <f t="shared" si="10"/>
        <v>33.333333333333336</v>
      </c>
      <c r="H28" s="46">
        <f t="shared" si="11"/>
        <v>37.5</v>
      </c>
      <c r="I28" s="46">
        <f t="shared" si="12"/>
        <v>39.583333333333336</v>
      </c>
      <c r="J28" s="46">
        <f t="shared" si="13"/>
        <v>41.66666666666667</v>
      </c>
      <c r="K28" s="46">
        <f t="shared" si="14"/>
        <v>45.833333333333336</v>
      </c>
      <c r="L28" s="46">
        <f t="shared" si="15"/>
        <v>47.91666666666667</v>
      </c>
      <c r="M28" s="48">
        <f t="shared" si="16"/>
        <v>50</v>
      </c>
      <c r="N28" s="46">
        <f t="shared" si="17"/>
        <v>54.16666666666667</v>
      </c>
      <c r="O28" s="45">
        <f t="shared" si="18"/>
        <v>58.333333333333336</v>
      </c>
      <c r="P28" s="24">
        <f t="shared" si="19"/>
        <v>2.0833333333333335</v>
      </c>
    </row>
    <row r="29" spans="1:16" ht="12.75">
      <c r="A29" s="53">
        <v>28</v>
      </c>
      <c r="B29" s="55">
        <v>127</v>
      </c>
      <c r="C29" s="53"/>
      <c r="D29" s="51">
        <v>100</v>
      </c>
      <c r="E29" s="61"/>
      <c r="F29" s="61"/>
      <c r="G29" s="46">
        <f t="shared" si="10"/>
        <v>57.14285714285714</v>
      </c>
      <c r="H29" s="46">
        <f t="shared" si="11"/>
        <v>64.28571428571428</v>
      </c>
      <c r="I29" s="46">
        <f t="shared" si="12"/>
        <v>67.85714285714285</v>
      </c>
      <c r="J29" s="46">
        <f t="shared" si="13"/>
        <v>71.42857142857142</v>
      </c>
      <c r="K29" s="46">
        <f t="shared" si="14"/>
        <v>78.57142857142857</v>
      </c>
      <c r="L29" s="46">
        <f t="shared" si="15"/>
        <v>82.14285714285714</v>
      </c>
      <c r="M29" s="46">
        <f t="shared" si="16"/>
        <v>85.71428571428571</v>
      </c>
      <c r="N29" s="46">
        <f t="shared" si="17"/>
        <v>92.85714285714285</v>
      </c>
      <c r="O29" s="52">
        <f t="shared" si="18"/>
        <v>100</v>
      </c>
      <c r="P29" s="24">
        <f t="shared" si="19"/>
        <v>3.5714285714285716</v>
      </c>
    </row>
    <row r="30" spans="1:16" ht="12.75">
      <c r="A30" s="51">
        <v>200</v>
      </c>
      <c r="B30" s="55">
        <v>127</v>
      </c>
      <c r="C30" s="53"/>
      <c r="D30" s="51">
        <v>20</v>
      </c>
      <c r="E30" s="61"/>
      <c r="F30" s="61"/>
      <c r="G30" s="46">
        <f t="shared" si="10"/>
        <v>1.6</v>
      </c>
      <c r="H30" s="46">
        <f t="shared" si="11"/>
        <v>1.8</v>
      </c>
      <c r="I30" s="46">
        <f t="shared" si="12"/>
        <v>1.9000000000000001</v>
      </c>
      <c r="J30" s="56">
        <f t="shared" si="13"/>
        <v>2</v>
      </c>
      <c r="K30" s="46">
        <f t="shared" si="14"/>
        <v>2.2</v>
      </c>
      <c r="L30" s="46">
        <f t="shared" si="15"/>
        <v>2.3000000000000003</v>
      </c>
      <c r="M30" s="46">
        <f t="shared" si="16"/>
        <v>2.4000000000000004</v>
      </c>
      <c r="N30" s="46">
        <f t="shared" si="17"/>
        <v>2.6</v>
      </c>
      <c r="O30" s="45">
        <f t="shared" si="18"/>
        <v>2.8000000000000003</v>
      </c>
      <c r="P30" s="44">
        <f t="shared" si="19"/>
        <v>0.1</v>
      </c>
    </row>
    <row r="31" spans="1:16" ht="12.75">
      <c r="A31" s="51">
        <v>224</v>
      </c>
      <c r="B31" s="55">
        <v>127</v>
      </c>
      <c r="C31" s="53"/>
      <c r="D31" s="53">
        <v>28</v>
      </c>
      <c r="E31" s="61"/>
      <c r="F31" s="61"/>
      <c r="G31" s="56">
        <f t="shared" si="0"/>
        <v>2</v>
      </c>
      <c r="H31" s="46">
        <f t="shared" si="1"/>
        <v>2.25</v>
      </c>
      <c r="I31" s="46">
        <f t="shared" si="2"/>
        <v>2.375</v>
      </c>
      <c r="J31" s="46">
        <f t="shared" si="3"/>
        <v>2.5</v>
      </c>
      <c r="K31" s="46">
        <f t="shared" si="4"/>
        <v>2.75</v>
      </c>
      <c r="L31" s="46">
        <f t="shared" si="5"/>
        <v>2.875</v>
      </c>
      <c r="M31" s="56">
        <f t="shared" si="6"/>
        <v>3</v>
      </c>
      <c r="N31" s="46">
        <f t="shared" si="7"/>
        <v>3.25</v>
      </c>
      <c r="O31" s="45">
        <f t="shared" si="8"/>
        <v>3.5</v>
      </c>
      <c r="P31" s="24">
        <f t="shared" si="19"/>
        <v>0.125</v>
      </c>
    </row>
    <row r="32" spans="1:16" ht="12.75">
      <c r="A32" s="53">
        <v>120</v>
      </c>
      <c r="B32" s="55">
        <v>127</v>
      </c>
      <c r="C32" s="53"/>
      <c r="D32" s="51">
        <v>20</v>
      </c>
      <c r="E32" s="61"/>
      <c r="F32" s="61"/>
      <c r="G32" s="46">
        <f>Leadscrew_TPI/($A32/$D32)*(Gearbox_1/Inter_Gear)</f>
        <v>2.6666666666666665</v>
      </c>
      <c r="H32" s="56">
        <f>Leadscrew_TPI/($A32/$D32)*(Gearbox_2/Inter_Gear)</f>
        <v>3</v>
      </c>
      <c r="I32" s="46">
        <f>Leadscrew_TPI/($A32/$D32)*(Gearbox_3/Inter_Gear)</f>
        <v>3.1666666666666665</v>
      </c>
      <c r="J32" s="46">
        <f>Leadscrew_TPI/($A32/$D32)*(Gearbox_4/Inter_Gear)</f>
        <v>3.333333333333333</v>
      </c>
      <c r="K32" s="46">
        <f>Leadscrew_TPI/($A32/$D32)*(Gearbox_5/Inter_Gear)</f>
        <v>3.6666666666666665</v>
      </c>
      <c r="L32" s="46">
        <f>Leadscrew_TPI/($A32/$D32)*(Gearbox_6/Inter_Gear)</f>
        <v>3.833333333333333</v>
      </c>
      <c r="M32" s="48">
        <f>Leadscrew_TPI/($A32/$D32)*(Gearbox_7/Inter_Gear)</f>
        <v>4</v>
      </c>
      <c r="N32" s="46">
        <f>Leadscrew_TPI/($A32/$D32)*(Gearbox_8/Inter_Gear)</f>
        <v>4.333333333333333</v>
      </c>
      <c r="O32" s="45">
        <f>Leadscrew_TPI/($A32/$D32)*(Gearbox_9/Inter_Gear)</f>
        <v>4.666666666666666</v>
      </c>
      <c r="P32" s="44">
        <f t="shared" si="19"/>
        <v>0.16666666666666666</v>
      </c>
    </row>
    <row r="33" spans="1:6" ht="12.75">
      <c r="A33" t="s">
        <v>50</v>
      </c>
      <c r="F33" s="78" t="s">
        <v>51</v>
      </c>
    </row>
    <row r="34" spans="1:16" ht="12.75">
      <c r="A34" s="53">
        <v>28</v>
      </c>
      <c r="B34" s="55">
        <v>127</v>
      </c>
      <c r="C34" s="53"/>
      <c r="D34" s="53">
        <v>120</v>
      </c>
      <c r="E34" s="54"/>
      <c r="F34" s="54"/>
      <c r="G34" s="83">
        <f>Leadscrew_TPI/($A34/$D34)*(Gearbox_1/Inter_Gear)</f>
        <v>68.57142857142857</v>
      </c>
      <c r="H34" s="83">
        <f>Leadscrew_TPI/($A34/$D34)*(Gearbox_2/Inter_Gear)</f>
        <v>77.14285714285714</v>
      </c>
      <c r="I34" s="83">
        <f>Leadscrew_TPI/($A34/$D34)*(Gearbox_3/Inter_Gear)</f>
        <v>81.42857142857143</v>
      </c>
      <c r="J34" s="83">
        <f>Leadscrew_TPI/($A34/$D34)*(Gearbox_4/Inter_Gear)</f>
        <v>85.71428571428571</v>
      </c>
      <c r="K34" s="83">
        <f>Leadscrew_TPI/($A34/$D34)*(Gearbox_5/Inter_Gear)</f>
        <v>94.28571428571428</v>
      </c>
      <c r="L34" s="83">
        <f>Leadscrew_TPI/($A34/$D34)*(Gearbox_6/Inter_Gear)</f>
        <v>98.57142857142857</v>
      </c>
      <c r="M34" s="83">
        <f>Leadscrew_TPI/($A34/$D34)*(Gearbox_7/Inter_Gear)</f>
        <v>102.85714285714286</v>
      </c>
      <c r="N34" s="83">
        <f>Leadscrew_TPI/($A34/$D34)*(Gearbox_8/Inter_Gear)</f>
        <v>111.42857142857143</v>
      </c>
      <c r="O34" s="84">
        <f>Leadscrew_TPI/($A34/$D34)*(Gearbox_9/Inter_Gear)</f>
        <v>120</v>
      </c>
      <c r="P34" s="24">
        <f>D34/A34</f>
        <v>4.285714285714286</v>
      </c>
    </row>
    <row r="35" spans="1:16" ht="12.75">
      <c r="A35" s="81" t="s">
        <v>55</v>
      </c>
      <c r="D35" s="79"/>
      <c r="F35" s="80"/>
      <c r="G35" s="85">
        <f aca="true" t="shared" si="20" ref="G35:O35">1/(GearFeed*G34)</f>
        <v>0.004630217593768521</v>
      </c>
      <c r="H35" s="85">
        <f t="shared" si="20"/>
        <v>0.004115748972238686</v>
      </c>
      <c r="I35" s="85">
        <f t="shared" si="20"/>
        <v>0.0038991306052787544</v>
      </c>
      <c r="J35" s="85">
        <f t="shared" si="20"/>
        <v>0.0037041740750148166</v>
      </c>
      <c r="K35" s="85">
        <f t="shared" si="20"/>
        <v>0.003367430977286197</v>
      </c>
      <c r="L35" s="85">
        <f t="shared" si="20"/>
        <v>0.003221020934795493</v>
      </c>
      <c r="M35" s="85">
        <f t="shared" si="20"/>
        <v>0.003086811729179014</v>
      </c>
      <c r="N35" s="85">
        <f t="shared" si="20"/>
        <v>0.0028493646730883204</v>
      </c>
      <c r="O35" s="85">
        <f t="shared" si="20"/>
        <v>0.0026458386250105834</v>
      </c>
      <c r="P35" s="24"/>
    </row>
    <row r="36" spans="1:15" ht="12.75">
      <c r="A36" s="1"/>
      <c r="B36" s="18"/>
      <c r="C36" s="1"/>
      <c r="D36" s="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9"/>
    </row>
    <row r="37" spans="1:15" ht="12.75">
      <c r="A37" s="1"/>
      <c r="B37" s="18"/>
      <c r="C37" s="1"/>
      <c r="D37" s="1"/>
      <c r="E37" s="22"/>
      <c r="F37" s="22"/>
      <c r="G37" s="40" t="s">
        <v>29</v>
      </c>
      <c r="H37" s="22"/>
      <c r="I37" s="22"/>
      <c r="J37" s="22"/>
      <c r="K37" s="22"/>
      <c r="L37" s="22"/>
      <c r="M37" s="22"/>
      <c r="N37" s="22"/>
      <c r="O37" s="39"/>
    </row>
    <row r="38" spans="1:15" ht="12.75">
      <c r="A38" s="1"/>
      <c r="B38" s="18"/>
      <c r="C38" s="1"/>
      <c r="D38" s="1"/>
      <c r="E38" s="6"/>
      <c r="F38" s="22"/>
      <c r="G38" s="3" t="s">
        <v>30</v>
      </c>
      <c r="H38" s="22"/>
      <c r="I38" s="22"/>
      <c r="J38" s="22"/>
      <c r="K38" s="22"/>
      <c r="L38" s="22"/>
      <c r="M38" s="22"/>
      <c r="N38" s="22"/>
      <c r="O38" s="39"/>
    </row>
    <row r="39" spans="1:15" ht="12.75">
      <c r="A39" s="1"/>
      <c r="B39" s="18"/>
      <c r="C39" s="1"/>
      <c r="D39" s="1"/>
      <c r="E39" s="22"/>
      <c r="F39" s="22"/>
      <c r="G39" s="41" t="s">
        <v>31</v>
      </c>
      <c r="H39" s="22"/>
      <c r="I39" s="75" t="s">
        <v>36</v>
      </c>
      <c r="K39" s="22"/>
      <c r="L39" s="88" t="s">
        <v>39</v>
      </c>
      <c r="M39" s="22"/>
      <c r="N39" s="22"/>
      <c r="O39" s="39"/>
    </row>
    <row r="40" spans="1:15" ht="12.75">
      <c r="A40" s="36">
        <v>28</v>
      </c>
      <c r="B40" s="36">
        <v>127</v>
      </c>
      <c r="C40" s="37">
        <v>120</v>
      </c>
      <c r="D40" s="36">
        <v>80</v>
      </c>
      <c r="E40" s="38"/>
      <c r="F40" s="38"/>
      <c r="G40" s="46">
        <f aca="true" t="shared" si="21" ref="G40:G51">25.4/(Leadscrew_TPI/(($A40/(127/120)/$D40)*(Inter_Gear/Gearbox_1)))</f>
        <v>0.5249999999999999</v>
      </c>
      <c r="H40" s="46">
        <f aca="true" t="shared" si="22" ref="H40:H51">25.4/(Leadscrew_TPI/(($A40/(127/120)/$D40)*(Inter_Gear/Gearbox_2)))</f>
        <v>0.46666666666666656</v>
      </c>
      <c r="I40" s="46">
        <f aca="true" t="shared" si="23" ref="I40:I51">25.4/(Leadscrew_TPI/(($A40/(127/120)/$D40)*(Inter_Gear/Gearbox_3)))</f>
        <v>0.4421052631578946</v>
      </c>
      <c r="J40" s="46">
        <f aca="true" t="shared" si="24" ref="J40:J51">25.4/(Leadscrew_TPI/(($A40/(127/120)/$D40)*(Inter_Gear/Gearbox_4)))</f>
        <v>0.42</v>
      </c>
      <c r="K40" s="46">
        <f aca="true" t="shared" si="25" ref="K40:K51">25.4/(Leadscrew_TPI/(($A40/(127/120)/$D40)*(Inter_Gear/Gearbox_5)))</f>
        <v>0.3818181818181817</v>
      </c>
      <c r="L40" s="46">
        <f aca="true" t="shared" si="26" ref="L40:L51">25.4/(Leadscrew_TPI/(($A40/(127/120)/$D40)*(Inter_Gear/Gearbox_6)))</f>
        <v>0.3652173913043477</v>
      </c>
      <c r="M40" s="48">
        <f aca="true" t="shared" si="27" ref="M40:M51">25.4/(Leadscrew_TPI/(($A40/(127/120)/$D40)*(Inter_Gear/Gearbox_7)))</f>
        <v>0.3499999999999999</v>
      </c>
      <c r="N40" s="46">
        <f aca="true" t="shared" si="28" ref="N40:N51">25.4/(Leadscrew_TPI/(($A40/(127/120)/$D40)*(Inter_Gear/Gearbox_8)))</f>
        <v>0.32307692307692304</v>
      </c>
      <c r="O40" s="49">
        <f aca="true" t="shared" si="29" ref="O40:O51">25.4/(Leadscrew_TPI/((($A40/(127/120)/$D40))*(Inter_Gear/Gearbox_9)))</f>
        <v>0.29999999999999993</v>
      </c>
    </row>
    <row r="41" spans="1:15" ht="12.75">
      <c r="A41" s="36">
        <v>28</v>
      </c>
      <c r="B41" s="36">
        <v>127</v>
      </c>
      <c r="C41" s="37">
        <v>120</v>
      </c>
      <c r="D41" s="36">
        <v>60</v>
      </c>
      <c r="E41" s="38"/>
      <c r="F41" s="38"/>
      <c r="G41" s="48">
        <f t="shared" si="21"/>
        <v>0.7</v>
      </c>
      <c r="H41" s="46">
        <f t="shared" si="22"/>
        <v>0.6222222222222221</v>
      </c>
      <c r="I41" s="46">
        <f t="shared" si="23"/>
        <v>0.5894736842105263</v>
      </c>
      <c r="J41" s="46">
        <f t="shared" si="24"/>
        <v>0.5599999999999999</v>
      </c>
      <c r="K41" s="46">
        <f t="shared" si="25"/>
        <v>0.509090909090909</v>
      </c>
      <c r="L41" s="46">
        <f t="shared" si="26"/>
        <v>0.48695652173913034</v>
      </c>
      <c r="M41" s="46">
        <f t="shared" si="27"/>
        <v>0.4666666666666666</v>
      </c>
      <c r="N41" s="46">
        <f t="shared" si="28"/>
        <v>0.4307692307692308</v>
      </c>
      <c r="O41" s="49">
        <f t="shared" si="29"/>
        <v>0.39999999999999997</v>
      </c>
    </row>
    <row r="42" spans="1:15" ht="12.75">
      <c r="A42" s="36">
        <v>36</v>
      </c>
      <c r="B42" s="36">
        <v>127</v>
      </c>
      <c r="C42" s="37">
        <v>120</v>
      </c>
      <c r="D42" s="36">
        <v>80</v>
      </c>
      <c r="E42" s="38"/>
      <c r="F42" s="38"/>
      <c r="G42" s="46">
        <f t="shared" si="21"/>
        <v>0.6749999999999999</v>
      </c>
      <c r="H42" s="48">
        <f t="shared" si="22"/>
        <v>0.5999999999999999</v>
      </c>
      <c r="I42" s="46">
        <f t="shared" si="23"/>
        <v>0.5684210526315788</v>
      </c>
      <c r="J42" s="46">
        <f t="shared" si="24"/>
        <v>0.5399999999999999</v>
      </c>
      <c r="K42" s="46">
        <f t="shared" si="25"/>
        <v>0.4909090909090909</v>
      </c>
      <c r="L42" s="46">
        <f t="shared" si="26"/>
        <v>0.46956521739130425</v>
      </c>
      <c r="M42" s="48">
        <f t="shared" si="27"/>
        <v>0.4499999999999999</v>
      </c>
      <c r="N42" s="46">
        <f t="shared" si="28"/>
        <v>0.4153846153846154</v>
      </c>
      <c r="O42" s="50">
        <f t="shared" si="29"/>
        <v>0.3857142857142856</v>
      </c>
    </row>
    <row r="43" spans="1:15" ht="12.75">
      <c r="A43" s="36">
        <v>30</v>
      </c>
      <c r="B43" s="36">
        <v>127</v>
      </c>
      <c r="C43" s="37">
        <v>120</v>
      </c>
      <c r="D43" s="36">
        <v>60</v>
      </c>
      <c r="E43" s="38"/>
      <c r="F43" s="38"/>
      <c r="G43" s="48">
        <f t="shared" si="21"/>
        <v>0.75</v>
      </c>
      <c r="H43" s="46">
        <f t="shared" si="22"/>
        <v>0.6666666666666666</v>
      </c>
      <c r="I43" s="46">
        <f t="shared" si="23"/>
        <v>0.631578947368421</v>
      </c>
      <c r="J43" s="48">
        <f t="shared" si="24"/>
        <v>0.6</v>
      </c>
      <c r="K43" s="46">
        <f t="shared" si="25"/>
        <v>0.5454545454545454</v>
      </c>
      <c r="L43" s="46">
        <f t="shared" si="26"/>
        <v>0.5217391304347826</v>
      </c>
      <c r="M43" s="48">
        <f t="shared" si="27"/>
        <v>0.5</v>
      </c>
      <c r="N43" s="46">
        <f t="shared" si="28"/>
        <v>0.46153846153846156</v>
      </c>
      <c r="O43" s="50">
        <f t="shared" si="29"/>
        <v>0.4285714285714285</v>
      </c>
    </row>
    <row r="44" spans="1:15" ht="12.75">
      <c r="A44" s="36">
        <v>36</v>
      </c>
      <c r="B44" s="36">
        <v>127</v>
      </c>
      <c r="C44" s="37">
        <v>120</v>
      </c>
      <c r="D44" s="36">
        <v>60</v>
      </c>
      <c r="E44" s="38"/>
      <c r="F44" s="38"/>
      <c r="G44" s="48">
        <f t="shared" si="21"/>
        <v>0.9</v>
      </c>
      <c r="H44" s="48">
        <f t="shared" si="22"/>
        <v>0.7999999999999999</v>
      </c>
      <c r="I44" s="46">
        <f t="shared" si="23"/>
        <v>0.7578947368421052</v>
      </c>
      <c r="J44" s="46">
        <f t="shared" si="24"/>
        <v>0.72</v>
      </c>
      <c r="K44" s="46">
        <f t="shared" si="25"/>
        <v>0.6545454545454547</v>
      </c>
      <c r="L44" s="46">
        <f t="shared" si="26"/>
        <v>0.6260869565217391</v>
      </c>
      <c r="M44" s="48">
        <f t="shared" si="27"/>
        <v>0.6</v>
      </c>
      <c r="N44" s="46">
        <f t="shared" si="28"/>
        <v>0.5538461538461539</v>
      </c>
      <c r="O44" s="50">
        <f t="shared" si="29"/>
        <v>0.5142857142857142</v>
      </c>
    </row>
    <row r="45" spans="1:15" ht="12.75">
      <c r="A45" s="36">
        <v>30</v>
      </c>
      <c r="B45" s="36">
        <v>127</v>
      </c>
      <c r="C45" s="37">
        <v>120</v>
      </c>
      <c r="D45" s="36">
        <v>45</v>
      </c>
      <c r="E45" s="38"/>
      <c r="F45" s="38"/>
      <c r="G45" s="48">
        <f t="shared" si="21"/>
        <v>1</v>
      </c>
      <c r="H45" s="46">
        <f t="shared" si="22"/>
        <v>0.8888888888888887</v>
      </c>
      <c r="I45" s="46">
        <f t="shared" si="23"/>
        <v>0.8421052631578948</v>
      </c>
      <c r="J45" s="48">
        <f t="shared" si="24"/>
        <v>0.7999999999999999</v>
      </c>
      <c r="K45" s="46">
        <f t="shared" si="25"/>
        <v>0.7272727272727273</v>
      </c>
      <c r="L45" s="46">
        <f t="shared" si="26"/>
        <v>0.6956521739130433</v>
      </c>
      <c r="M45" s="46">
        <f t="shared" si="27"/>
        <v>0.6666666666666666</v>
      </c>
      <c r="N45" s="46">
        <f t="shared" si="28"/>
        <v>0.6153846153846154</v>
      </c>
      <c r="O45" s="50">
        <f t="shared" si="29"/>
        <v>0.5714285714285714</v>
      </c>
    </row>
    <row r="46" spans="1:15" ht="12.75">
      <c r="A46" s="36">
        <v>36</v>
      </c>
      <c r="B46" s="36">
        <v>127</v>
      </c>
      <c r="C46" s="37">
        <v>120</v>
      </c>
      <c r="D46" s="36">
        <v>45</v>
      </c>
      <c r="E46" s="38"/>
      <c r="F46" s="38"/>
      <c r="G46" s="48">
        <f t="shared" si="21"/>
        <v>1.1999999999999997</v>
      </c>
      <c r="H46" s="46">
        <f t="shared" si="22"/>
        <v>1.0666666666666664</v>
      </c>
      <c r="I46" s="46">
        <f t="shared" si="23"/>
        <v>1.0105263157894735</v>
      </c>
      <c r="J46" s="46">
        <f t="shared" si="24"/>
        <v>0.96</v>
      </c>
      <c r="K46" s="46">
        <f t="shared" si="25"/>
        <v>0.8727272727272726</v>
      </c>
      <c r="L46" s="46">
        <f t="shared" si="26"/>
        <v>0.834782608695652</v>
      </c>
      <c r="M46" s="48">
        <f t="shared" si="27"/>
        <v>0.7999999999999998</v>
      </c>
      <c r="N46" s="46">
        <f t="shared" si="28"/>
        <v>0.7384615384615384</v>
      </c>
      <c r="O46" s="50">
        <f t="shared" si="29"/>
        <v>0.6857142857142856</v>
      </c>
    </row>
    <row r="47" spans="1:15" ht="12.75">
      <c r="A47" s="36">
        <v>30</v>
      </c>
      <c r="B47" s="36">
        <v>127</v>
      </c>
      <c r="C47" s="37">
        <v>120</v>
      </c>
      <c r="D47" s="36">
        <v>36</v>
      </c>
      <c r="E47" s="38"/>
      <c r="F47" s="38"/>
      <c r="G47" s="48">
        <f t="shared" si="21"/>
        <v>1.25</v>
      </c>
      <c r="H47" s="46">
        <f t="shared" si="22"/>
        <v>1.111111111111111</v>
      </c>
      <c r="I47" s="46">
        <f t="shared" si="23"/>
        <v>1.0526315789473681</v>
      </c>
      <c r="J47" s="48">
        <f t="shared" si="24"/>
        <v>1</v>
      </c>
      <c r="K47" s="46">
        <f t="shared" si="25"/>
        <v>0.909090909090909</v>
      </c>
      <c r="L47" s="46">
        <f t="shared" si="26"/>
        <v>0.8695652173913042</v>
      </c>
      <c r="M47" s="46">
        <f t="shared" si="27"/>
        <v>0.833333333333333</v>
      </c>
      <c r="N47" s="46">
        <f t="shared" si="28"/>
        <v>0.7692307692307692</v>
      </c>
      <c r="O47" s="50">
        <f t="shared" si="29"/>
        <v>0.7142857142857142</v>
      </c>
    </row>
    <row r="48" spans="1:15" ht="12.75">
      <c r="A48" s="36">
        <v>30</v>
      </c>
      <c r="B48" s="36">
        <v>127</v>
      </c>
      <c r="C48" s="37">
        <v>120</v>
      </c>
      <c r="D48" s="36">
        <v>30</v>
      </c>
      <c r="E48" s="38"/>
      <c r="F48" s="38"/>
      <c r="G48" s="48">
        <f t="shared" si="21"/>
        <v>1.5</v>
      </c>
      <c r="H48" s="46">
        <f t="shared" si="22"/>
        <v>1.3333333333333333</v>
      </c>
      <c r="I48" s="46">
        <f t="shared" si="23"/>
        <v>1.263157894736842</v>
      </c>
      <c r="J48" s="46">
        <f t="shared" si="24"/>
        <v>1.2</v>
      </c>
      <c r="K48" s="46">
        <f t="shared" si="25"/>
        <v>1.0909090909090908</v>
      </c>
      <c r="L48" s="46">
        <f t="shared" si="26"/>
        <v>1.0434782608695652</v>
      </c>
      <c r="M48" s="48">
        <f t="shared" si="27"/>
        <v>1</v>
      </c>
      <c r="N48" s="46">
        <f t="shared" si="28"/>
        <v>0.9230769230769231</v>
      </c>
      <c r="O48" s="50">
        <f t="shared" si="29"/>
        <v>0.857142857142857</v>
      </c>
    </row>
    <row r="49" spans="1:15" ht="12.75">
      <c r="A49" s="36">
        <v>42</v>
      </c>
      <c r="B49" s="36">
        <v>127</v>
      </c>
      <c r="C49" s="37">
        <v>120</v>
      </c>
      <c r="D49" s="36">
        <v>36</v>
      </c>
      <c r="E49" s="38"/>
      <c r="F49" s="38"/>
      <c r="G49" s="48">
        <f t="shared" si="21"/>
        <v>1.75</v>
      </c>
      <c r="H49" s="46">
        <f t="shared" si="22"/>
        <v>1.5555555555555554</v>
      </c>
      <c r="I49" s="46">
        <f t="shared" si="23"/>
        <v>1.473684210526316</v>
      </c>
      <c r="J49" s="46">
        <f t="shared" si="24"/>
        <v>1.4</v>
      </c>
      <c r="K49" s="46">
        <f t="shared" si="25"/>
        <v>1.2727272727272727</v>
      </c>
      <c r="L49" s="46">
        <f t="shared" si="26"/>
        <v>1.217391304347826</v>
      </c>
      <c r="M49" s="46">
        <f t="shared" si="27"/>
        <v>1.1666666666666665</v>
      </c>
      <c r="N49" s="46">
        <f t="shared" si="28"/>
        <v>1.0769230769230769</v>
      </c>
      <c r="O49" s="49">
        <f t="shared" si="29"/>
        <v>1</v>
      </c>
    </row>
    <row r="50" spans="1:15" ht="12.75">
      <c r="A50" s="36">
        <v>60</v>
      </c>
      <c r="B50" s="36">
        <v>127</v>
      </c>
      <c r="C50" s="37">
        <v>120</v>
      </c>
      <c r="D50" s="36">
        <v>45</v>
      </c>
      <c r="E50" s="38"/>
      <c r="F50" s="38"/>
      <c r="G50" s="48">
        <f t="shared" si="21"/>
        <v>2</v>
      </c>
      <c r="H50" s="46">
        <f t="shared" si="22"/>
        <v>1.7777777777777775</v>
      </c>
      <c r="I50" s="46">
        <f t="shared" si="23"/>
        <v>1.6842105263157896</v>
      </c>
      <c r="J50" s="46">
        <f t="shared" si="24"/>
        <v>1.5999999999999999</v>
      </c>
      <c r="K50" s="46">
        <f t="shared" si="25"/>
        <v>1.4545454545454546</v>
      </c>
      <c r="L50" s="46">
        <f t="shared" si="26"/>
        <v>1.3913043478260867</v>
      </c>
      <c r="M50" s="46">
        <f t="shared" si="27"/>
        <v>1.3333333333333333</v>
      </c>
      <c r="N50" s="46">
        <f t="shared" si="28"/>
        <v>1.2307692307692308</v>
      </c>
      <c r="O50" s="50">
        <f t="shared" si="29"/>
        <v>1.1428571428571428</v>
      </c>
    </row>
    <row r="51" spans="1:15" ht="12.75">
      <c r="A51" s="36">
        <v>42</v>
      </c>
      <c r="B51" s="36">
        <v>127</v>
      </c>
      <c r="C51" s="37">
        <v>120</v>
      </c>
      <c r="D51" s="36">
        <v>28</v>
      </c>
      <c r="E51" s="38"/>
      <c r="F51" s="38"/>
      <c r="G51" s="46">
        <f t="shared" si="21"/>
        <v>2.2499999999999996</v>
      </c>
      <c r="H51" s="48">
        <f t="shared" si="22"/>
        <v>1.9999999999999993</v>
      </c>
      <c r="I51" s="46">
        <f t="shared" si="23"/>
        <v>1.8947368421052628</v>
      </c>
      <c r="J51" s="46">
        <f t="shared" si="24"/>
        <v>1.8</v>
      </c>
      <c r="K51" s="46">
        <f t="shared" si="25"/>
        <v>1.6363636363636362</v>
      </c>
      <c r="L51" s="46">
        <f t="shared" si="26"/>
        <v>1.5652173913043477</v>
      </c>
      <c r="M51" s="48">
        <f t="shared" si="27"/>
        <v>1.4999999999999996</v>
      </c>
      <c r="N51" s="46">
        <f t="shared" si="28"/>
        <v>1.3846153846153846</v>
      </c>
      <c r="O51" s="50">
        <f t="shared" si="29"/>
        <v>1.2857142857142856</v>
      </c>
    </row>
    <row r="52" spans="1:15" ht="12.75">
      <c r="A52" s="36">
        <v>45</v>
      </c>
      <c r="B52" s="36">
        <v>127</v>
      </c>
      <c r="C52" s="37">
        <v>120</v>
      </c>
      <c r="D52" s="36">
        <v>30</v>
      </c>
      <c r="E52" s="38"/>
      <c r="F52" s="38"/>
      <c r="G52" s="46">
        <f aca="true" t="shared" si="30" ref="G52:G67">25.4/(Leadscrew_TPI/(($A52/(127/120)/$D52)*(Inter_Gear/Gearbox_1)))</f>
        <v>2.25</v>
      </c>
      <c r="H52" s="48">
        <f aca="true" t="shared" si="31" ref="H52:H67">25.4/(Leadscrew_TPI/(($A52/(127/120)/$D52)*(Inter_Gear/Gearbox_2)))</f>
        <v>2</v>
      </c>
      <c r="I52" s="46">
        <f aca="true" t="shared" si="32" ref="I52:I61">25.4/(Leadscrew_TPI/(($A52/(127/120)/$D52)*(Inter_Gear/Gearbox_3)))</f>
        <v>1.8947368421052633</v>
      </c>
      <c r="J52" s="46">
        <f aca="true" t="shared" si="33" ref="J52:J67">25.4/(Leadscrew_TPI/(($A52/(127/120)/$D52)*(Inter_Gear/Gearbox_4)))</f>
        <v>1.8000000000000003</v>
      </c>
      <c r="K52" s="46">
        <f aca="true" t="shared" si="34" ref="K52:K67">25.4/(Leadscrew_TPI/(($A52/(127/120)/$D52)*(Inter_Gear/Gearbox_5)))</f>
        <v>1.6363636363636367</v>
      </c>
      <c r="L52" s="46">
        <f aca="true" t="shared" si="35" ref="L52:L67">25.4/(Leadscrew_TPI/(($A52/(127/120)/$D52)*(Inter_Gear/Gearbox_6)))</f>
        <v>1.5652173913043477</v>
      </c>
      <c r="M52" s="48">
        <f aca="true" t="shared" si="36" ref="M52:M67">25.4/(Leadscrew_TPI/(($A52/(127/120)/$D52)*(Inter_Gear/Gearbox_7)))</f>
        <v>1.5000000000000002</v>
      </c>
      <c r="N52" s="46">
        <f aca="true" t="shared" si="37" ref="N52:N67">25.4/(Leadscrew_TPI/(($A52/(127/120)/$D52)*(Inter_Gear/Gearbox_8)))</f>
        <v>1.3846153846153848</v>
      </c>
      <c r="O52" s="50">
        <f aca="true" t="shared" si="38" ref="O52:O67">25.4/(Leadscrew_TPI/((($A52/(127/120)/$D52))*(Inter_Gear/Gearbox_9)))</f>
        <v>1.2857142857142856</v>
      </c>
    </row>
    <row r="53" spans="1:15" ht="12.75">
      <c r="A53" s="36">
        <v>60</v>
      </c>
      <c r="B53" s="36">
        <v>127</v>
      </c>
      <c r="C53" s="37">
        <v>120</v>
      </c>
      <c r="D53" s="36">
        <v>36</v>
      </c>
      <c r="E53" s="38"/>
      <c r="F53" s="38"/>
      <c r="G53" s="48">
        <f t="shared" si="30"/>
        <v>2.5</v>
      </c>
      <c r="H53" s="46">
        <f t="shared" si="31"/>
        <v>2.222222222222222</v>
      </c>
      <c r="I53" s="46">
        <f t="shared" si="32"/>
        <v>2.1052631578947363</v>
      </c>
      <c r="J53" s="48">
        <f t="shared" si="33"/>
        <v>2</v>
      </c>
      <c r="K53" s="46">
        <f t="shared" si="34"/>
        <v>1.818181818181818</v>
      </c>
      <c r="L53" s="46">
        <f t="shared" si="35"/>
        <v>1.7391304347826084</v>
      </c>
      <c r="M53" s="46">
        <f t="shared" si="36"/>
        <v>1.666666666666666</v>
      </c>
      <c r="N53" s="46">
        <f t="shared" si="37"/>
        <v>1.5384615384615383</v>
      </c>
      <c r="O53" s="50">
        <f t="shared" si="38"/>
        <v>1.4285714285714284</v>
      </c>
    </row>
    <row r="54" spans="1:15" ht="12.75">
      <c r="A54" s="36">
        <v>60</v>
      </c>
      <c r="B54" s="36">
        <v>127</v>
      </c>
      <c r="C54" s="37">
        <v>120</v>
      </c>
      <c r="D54" s="36">
        <v>30</v>
      </c>
      <c r="E54" s="38"/>
      <c r="F54" s="38"/>
      <c r="G54" s="48">
        <f t="shared" si="30"/>
        <v>3</v>
      </c>
      <c r="H54" s="46">
        <f t="shared" si="31"/>
        <v>2.6666666666666665</v>
      </c>
      <c r="I54" s="46">
        <f t="shared" si="32"/>
        <v>2.526315789473684</v>
      </c>
      <c r="J54" s="46">
        <f t="shared" si="33"/>
        <v>2.4</v>
      </c>
      <c r="K54" s="46">
        <f t="shared" si="34"/>
        <v>2.1818181818181817</v>
      </c>
      <c r="L54" s="46">
        <f t="shared" si="35"/>
        <v>2.0869565217391304</v>
      </c>
      <c r="M54" s="48">
        <f t="shared" si="36"/>
        <v>2</v>
      </c>
      <c r="N54" s="46">
        <f t="shared" si="37"/>
        <v>1.8461538461538463</v>
      </c>
      <c r="O54" s="50">
        <f t="shared" si="38"/>
        <v>1.714285714285714</v>
      </c>
    </row>
    <row r="55" spans="1:15" ht="12.75">
      <c r="A55" s="36">
        <v>80</v>
      </c>
      <c r="B55" s="36">
        <v>127</v>
      </c>
      <c r="C55" s="37">
        <v>120</v>
      </c>
      <c r="D55" s="36">
        <v>30</v>
      </c>
      <c r="E55" s="38"/>
      <c r="F55" s="38"/>
      <c r="G55" s="48">
        <f t="shared" si="30"/>
        <v>4</v>
      </c>
      <c r="H55" s="46">
        <f t="shared" si="31"/>
        <v>3.555555555555555</v>
      </c>
      <c r="I55" s="46">
        <f t="shared" si="32"/>
        <v>3.368421052631579</v>
      </c>
      <c r="J55" s="46">
        <f t="shared" si="33"/>
        <v>3.1999999999999997</v>
      </c>
      <c r="K55" s="46">
        <f t="shared" si="34"/>
        <v>2.909090909090909</v>
      </c>
      <c r="L55" s="46">
        <f t="shared" si="35"/>
        <v>2.7826086956521734</v>
      </c>
      <c r="M55" s="46">
        <f t="shared" si="36"/>
        <v>2.6666666666666665</v>
      </c>
      <c r="N55" s="46">
        <f t="shared" si="37"/>
        <v>2.4615384615384617</v>
      </c>
      <c r="O55" s="50">
        <f t="shared" si="38"/>
        <v>2.2857142857142856</v>
      </c>
    </row>
    <row r="56" spans="1:16" ht="12.75">
      <c r="A56" s="59">
        <v>120</v>
      </c>
      <c r="B56" s="36">
        <v>127</v>
      </c>
      <c r="C56" s="37">
        <v>120</v>
      </c>
      <c r="D56" s="36">
        <v>36</v>
      </c>
      <c r="E56" s="68"/>
      <c r="F56" s="69"/>
      <c r="G56" s="56">
        <f t="shared" si="30"/>
        <v>5</v>
      </c>
      <c r="H56" s="46">
        <f t="shared" si="31"/>
        <v>4.444444444444444</v>
      </c>
      <c r="I56" s="46">
        <f t="shared" si="32"/>
        <v>4.210526315789473</v>
      </c>
      <c r="J56" s="48">
        <f t="shared" si="33"/>
        <v>4</v>
      </c>
      <c r="K56" s="46">
        <f t="shared" si="34"/>
        <v>3.636363636363636</v>
      </c>
      <c r="L56" s="46">
        <f t="shared" si="35"/>
        <v>3.478260869565217</v>
      </c>
      <c r="M56" s="46">
        <f t="shared" si="36"/>
        <v>3.333333333333332</v>
      </c>
      <c r="N56" s="46">
        <f t="shared" si="37"/>
        <v>3.0769230769230766</v>
      </c>
      <c r="O56" s="50">
        <f t="shared" si="38"/>
        <v>2.8571428571428568</v>
      </c>
      <c r="P56" s="71" t="s">
        <v>48</v>
      </c>
    </row>
    <row r="57" spans="1:15" ht="12.75">
      <c r="A57" s="59">
        <v>120</v>
      </c>
      <c r="B57" s="36">
        <v>127</v>
      </c>
      <c r="C57" s="37">
        <v>120</v>
      </c>
      <c r="D57" s="36">
        <v>30</v>
      </c>
      <c r="E57" s="68"/>
      <c r="F57" s="69"/>
      <c r="G57" s="56">
        <f t="shared" si="30"/>
        <v>6</v>
      </c>
      <c r="H57" s="46">
        <f t="shared" si="31"/>
        <v>5.333333333333333</v>
      </c>
      <c r="I57" s="46">
        <f t="shared" si="32"/>
        <v>5.052631578947368</v>
      </c>
      <c r="J57" s="46">
        <f t="shared" si="33"/>
        <v>4.8</v>
      </c>
      <c r="K57" s="46">
        <f t="shared" si="34"/>
        <v>4.363636363636363</v>
      </c>
      <c r="L57" s="46">
        <f t="shared" si="35"/>
        <v>4.173913043478261</v>
      </c>
      <c r="M57" s="48">
        <f t="shared" si="36"/>
        <v>4</v>
      </c>
      <c r="N57" s="46">
        <f t="shared" si="37"/>
        <v>3.6923076923076925</v>
      </c>
      <c r="O57" s="50">
        <f t="shared" si="38"/>
        <v>3.428571428571428</v>
      </c>
    </row>
    <row r="58" spans="1:15" ht="12.75">
      <c r="A58" s="51">
        <v>90</v>
      </c>
      <c r="B58" s="36">
        <v>127</v>
      </c>
      <c r="C58" s="37">
        <v>120</v>
      </c>
      <c r="D58" s="36">
        <v>30</v>
      </c>
      <c r="E58" s="61"/>
      <c r="F58" s="61"/>
      <c r="G58" s="56">
        <f t="shared" si="30"/>
        <v>4.5</v>
      </c>
      <c r="H58" s="48">
        <f t="shared" si="31"/>
        <v>4</v>
      </c>
      <c r="I58" s="46">
        <f t="shared" si="32"/>
        <v>3.7894736842105265</v>
      </c>
      <c r="J58" s="46">
        <f t="shared" si="33"/>
        <v>3.6000000000000005</v>
      </c>
      <c r="K58" s="46">
        <f t="shared" si="34"/>
        <v>3.2727272727272734</v>
      </c>
      <c r="L58" s="46">
        <f t="shared" si="35"/>
        <v>3.1304347826086953</v>
      </c>
      <c r="M58" s="48">
        <f t="shared" si="36"/>
        <v>3.0000000000000004</v>
      </c>
      <c r="N58" s="46">
        <f t="shared" si="37"/>
        <v>2.7692307692307696</v>
      </c>
      <c r="O58" s="50">
        <f t="shared" si="38"/>
        <v>2.571428571428571</v>
      </c>
    </row>
    <row r="59" spans="1:15" ht="12.75">
      <c r="A59" s="51">
        <v>110</v>
      </c>
      <c r="B59" s="36">
        <v>127</v>
      </c>
      <c r="C59" s="37">
        <v>120</v>
      </c>
      <c r="D59" s="36">
        <v>30</v>
      </c>
      <c r="E59" s="61"/>
      <c r="F59" s="61"/>
      <c r="G59" s="56">
        <f t="shared" si="30"/>
        <v>5.5</v>
      </c>
      <c r="H59" s="46">
        <f t="shared" si="31"/>
        <v>4.888888888888888</v>
      </c>
      <c r="I59" s="46">
        <f t="shared" si="32"/>
        <v>4.63157894736842</v>
      </c>
      <c r="J59" s="46">
        <f t="shared" si="33"/>
        <v>4.4</v>
      </c>
      <c r="K59" s="48">
        <f t="shared" si="34"/>
        <v>4</v>
      </c>
      <c r="L59" s="46">
        <f t="shared" si="35"/>
        <v>3.826086956521739</v>
      </c>
      <c r="M59" s="46">
        <f t="shared" si="36"/>
        <v>3.666666666666666</v>
      </c>
      <c r="N59" s="46">
        <f t="shared" si="37"/>
        <v>3.3846153846153846</v>
      </c>
      <c r="O59" s="50">
        <f t="shared" si="38"/>
        <v>3.142857142857143</v>
      </c>
    </row>
    <row r="60" spans="1:15" ht="12.75">
      <c r="A60" s="36">
        <v>80</v>
      </c>
      <c r="B60" s="36">
        <v>127</v>
      </c>
      <c r="C60" s="37">
        <v>120</v>
      </c>
      <c r="D60" s="51">
        <v>20</v>
      </c>
      <c r="E60" s="62"/>
      <c r="F60" s="63"/>
      <c r="G60" s="56">
        <f t="shared" si="30"/>
        <v>5.999999999999998</v>
      </c>
      <c r="H60" s="46">
        <f t="shared" si="31"/>
        <v>5.333333333333332</v>
      </c>
      <c r="I60" s="46">
        <f t="shared" si="32"/>
        <v>5.052631578947367</v>
      </c>
      <c r="J60" s="46">
        <f t="shared" si="33"/>
        <v>4.8</v>
      </c>
      <c r="K60" s="46">
        <f t="shared" si="34"/>
        <v>4.363636363636363</v>
      </c>
      <c r="L60" s="46">
        <f t="shared" si="35"/>
        <v>4.17391304347826</v>
      </c>
      <c r="M60" s="48">
        <f t="shared" si="36"/>
        <v>3.9999999999999987</v>
      </c>
      <c r="N60" s="46">
        <f t="shared" si="37"/>
        <v>3.6923076923076916</v>
      </c>
      <c r="O60" s="50">
        <f t="shared" si="38"/>
        <v>3.428571428571428</v>
      </c>
    </row>
    <row r="61" spans="1:15" ht="12.75">
      <c r="A61" s="51">
        <v>140</v>
      </c>
      <c r="B61" s="36">
        <v>127</v>
      </c>
      <c r="C61" s="37">
        <v>120</v>
      </c>
      <c r="D61" s="53">
        <v>28</v>
      </c>
      <c r="E61" s="62"/>
      <c r="F61" s="63"/>
      <c r="G61" s="46">
        <f t="shared" si="30"/>
        <v>7.499999999999998</v>
      </c>
      <c r="H61" s="46">
        <f t="shared" si="31"/>
        <v>6.666666666666664</v>
      </c>
      <c r="I61" s="46">
        <f t="shared" si="32"/>
        <v>6.315789473684209</v>
      </c>
      <c r="J61" s="56">
        <f t="shared" si="33"/>
        <v>6</v>
      </c>
      <c r="K61" s="46">
        <f t="shared" si="34"/>
        <v>5.454545454545453</v>
      </c>
      <c r="L61" s="46">
        <f t="shared" si="35"/>
        <v>5.217391304347825</v>
      </c>
      <c r="M61" s="56">
        <f t="shared" si="36"/>
        <v>5</v>
      </c>
      <c r="N61" s="46">
        <f t="shared" si="37"/>
        <v>4.615384615384615</v>
      </c>
      <c r="O61" s="50">
        <f t="shared" si="38"/>
        <v>4.285714285714285</v>
      </c>
    </row>
    <row r="62" spans="1:15" ht="12.75">
      <c r="A62" s="51">
        <v>200</v>
      </c>
      <c r="B62" s="53">
        <v>127</v>
      </c>
      <c r="C62" s="55">
        <v>120</v>
      </c>
      <c r="D62" s="51">
        <v>40</v>
      </c>
      <c r="E62" s="64"/>
      <c r="F62" s="65"/>
      <c r="G62" s="46">
        <f t="shared" si="30"/>
        <v>7.500000000000001</v>
      </c>
      <c r="H62" s="46">
        <f t="shared" si="31"/>
        <v>6.666666666666666</v>
      </c>
      <c r="I62" s="42">
        <f>25.4/($E$1/((($A62/(127/120)/$D62))*(16/I$10)))</f>
        <v>6.315789473684211</v>
      </c>
      <c r="J62" s="56">
        <f t="shared" si="33"/>
        <v>6.000000000000001</v>
      </c>
      <c r="K62" s="46">
        <f t="shared" si="34"/>
        <v>5.454545454545455</v>
      </c>
      <c r="L62" s="46">
        <f t="shared" si="35"/>
        <v>5.217391304347826</v>
      </c>
      <c r="M62" s="56">
        <f t="shared" si="36"/>
        <v>5</v>
      </c>
      <c r="N62" s="46">
        <f t="shared" si="37"/>
        <v>4.615384615384616</v>
      </c>
      <c r="O62" s="50">
        <f t="shared" si="38"/>
        <v>4.2857142857142865</v>
      </c>
    </row>
    <row r="63" spans="1:15" ht="12.75">
      <c r="A63" s="51">
        <v>140</v>
      </c>
      <c r="B63" s="53">
        <v>127</v>
      </c>
      <c r="C63" s="55">
        <v>120</v>
      </c>
      <c r="D63" s="53">
        <v>30</v>
      </c>
      <c r="E63" s="61"/>
      <c r="F63" s="61"/>
      <c r="G63" s="56">
        <f t="shared" si="30"/>
        <v>7</v>
      </c>
      <c r="H63" s="46">
        <f t="shared" si="31"/>
        <v>6.222222222222221</v>
      </c>
      <c r="I63" s="42">
        <f>25.4/($E$1/((($A63/(127/120)/$D63))*(16/I$10)))</f>
        <v>5.894736842105264</v>
      </c>
      <c r="J63" s="46">
        <f t="shared" si="33"/>
        <v>5.6</v>
      </c>
      <c r="K63" s="46">
        <f t="shared" si="34"/>
        <v>5.090909090909091</v>
      </c>
      <c r="L63" s="46">
        <f t="shared" si="35"/>
        <v>4.869565217391304</v>
      </c>
      <c r="M63" s="46">
        <f t="shared" si="36"/>
        <v>4.666666666666666</v>
      </c>
      <c r="N63" s="46">
        <f t="shared" si="37"/>
        <v>4.3076923076923075</v>
      </c>
      <c r="O63" s="49">
        <f t="shared" si="38"/>
        <v>4</v>
      </c>
    </row>
    <row r="64" spans="1:15" ht="12.75">
      <c r="A64" s="53">
        <v>120</v>
      </c>
      <c r="B64" s="36">
        <v>127</v>
      </c>
      <c r="C64" s="37">
        <v>120</v>
      </c>
      <c r="D64" s="51">
        <v>20</v>
      </c>
      <c r="E64" s="62"/>
      <c r="F64" s="63"/>
      <c r="G64" s="56">
        <f t="shared" si="30"/>
        <v>8.999999999999998</v>
      </c>
      <c r="H64" s="56">
        <f t="shared" si="31"/>
        <v>7.999999999999997</v>
      </c>
      <c r="I64" s="46">
        <f>25.4/(Leadscrew_TPI/(($A64/(127/120)/$D64)*(Inter_Gear/Gearbox_3)))</f>
        <v>7.578947368421051</v>
      </c>
      <c r="J64" s="46">
        <f t="shared" si="33"/>
        <v>7.2</v>
      </c>
      <c r="K64" s="46">
        <f t="shared" si="34"/>
        <v>6.545454545454545</v>
      </c>
      <c r="L64" s="46">
        <f t="shared" si="35"/>
        <v>6.260869565217391</v>
      </c>
      <c r="M64" s="56">
        <f t="shared" si="36"/>
        <v>5.999999999999998</v>
      </c>
      <c r="N64" s="46">
        <f t="shared" si="37"/>
        <v>5.538461538461538</v>
      </c>
      <c r="O64" s="50">
        <f t="shared" si="38"/>
        <v>5.142857142857142</v>
      </c>
    </row>
    <row r="65" spans="1:15" ht="12.75">
      <c r="A65" s="51">
        <v>168</v>
      </c>
      <c r="B65" s="36">
        <v>127</v>
      </c>
      <c r="C65" s="37">
        <v>120</v>
      </c>
      <c r="D65" s="53">
        <v>28</v>
      </c>
      <c r="E65" s="62"/>
      <c r="F65" s="63"/>
      <c r="G65" s="56">
        <f t="shared" si="30"/>
        <v>8.999999999999998</v>
      </c>
      <c r="H65" s="56">
        <f t="shared" si="31"/>
        <v>7.999999999999997</v>
      </c>
      <c r="I65" s="46">
        <f>25.4/(Leadscrew_TPI/(($A65/(127/120)/$D65)*(Inter_Gear/Gearbox_3)))</f>
        <v>7.578947368421051</v>
      </c>
      <c r="J65" s="46">
        <f t="shared" si="33"/>
        <v>7.2</v>
      </c>
      <c r="K65" s="46">
        <f t="shared" si="34"/>
        <v>6.545454545454545</v>
      </c>
      <c r="L65" s="46">
        <f t="shared" si="35"/>
        <v>6.260869565217391</v>
      </c>
      <c r="M65" s="56">
        <f t="shared" si="36"/>
        <v>5.999999999999998</v>
      </c>
      <c r="N65" s="46">
        <f t="shared" si="37"/>
        <v>5.538461538461538</v>
      </c>
      <c r="O65" s="50">
        <f t="shared" si="38"/>
        <v>5.142857142857142</v>
      </c>
    </row>
    <row r="66" spans="1:15" ht="12.75">
      <c r="A66" s="51">
        <v>200</v>
      </c>
      <c r="B66" s="36">
        <v>127</v>
      </c>
      <c r="C66" s="37">
        <v>120</v>
      </c>
      <c r="D66" s="36">
        <v>30</v>
      </c>
      <c r="E66" s="62"/>
      <c r="F66" s="63"/>
      <c r="G66" s="56">
        <f t="shared" si="30"/>
        <v>10</v>
      </c>
      <c r="H66" s="46">
        <f t="shared" si="31"/>
        <v>8.888888888888888</v>
      </c>
      <c r="I66" s="46">
        <f>25.4/(Leadscrew_TPI/(($A66/(127/120)/$D66)*(Inter_Gear/Gearbox_3)))</f>
        <v>8.421052631578947</v>
      </c>
      <c r="J66" s="56">
        <f t="shared" si="33"/>
        <v>8.000000000000002</v>
      </c>
      <c r="K66" s="46">
        <f t="shared" si="34"/>
        <v>7.2727272727272725</v>
      </c>
      <c r="L66" s="46">
        <f t="shared" si="35"/>
        <v>6.9565217391304355</v>
      </c>
      <c r="M66" s="46">
        <f t="shared" si="36"/>
        <v>6.666666666666666</v>
      </c>
      <c r="N66" s="46">
        <f t="shared" si="37"/>
        <v>6.153846153846154</v>
      </c>
      <c r="O66" s="50">
        <f t="shared" si="38"/>
        <v>5.7142857142857135</v>
      </c>
    </row>
    <row r="67" spans="1:15" ht="12.75">
      <c r="A67" s="51">
        <v>200</v>
      </c>
      <c r="B67" s="53">
        <v>127</v>
      </c>
      <c r="C67" s="55">
        <v>120</v>
      </c>
      <c r="D67" s="51">
        <v>20</v>
      </c>
      <c r="E67" s="64"/>
      <c r="F67" s="65"/>
      <c r="G67" s="56">
        <f t="shared" si="30"/>
        <v>15.000000000000002</v>
      </c>
      <c r="H67" s="46">
        <f t="shared" si="31"/>
        <v>13.333333333333332</v>
      </c>
      <c r="I67" s="42">
        <f>25.4/($E$1/((($A67/(127/120)/$D67))*(16/I$10)))</f>
        <v>12.631578947368421</v>
      </c>
      <c r="J67" s="56">
        <f t="shared" si="33"/>
        <v>12.000000000000002</v>
      </c>
      <c r="K67" s="46">
        <f t="shared" si="34"/>
        <v>10.90909090909091</v>
      </c>
      <c r="L67" s="46">
        <f t="shared" si="35"/>
        <v>10.434782608695652</v>
      </c>
      <c r="M67" s="56">
        <f t="shared" si="36"/>
        <v>10</v>
      </c>
      <c r="N67" s="46">
        <f t="shared" si="37"/>
        <v>9.230769230769232</v>
      </c>
      <c r="O67" s="50">
        <f t="shared" si="38"/>
        <v>8.571428571428573</v>
      </c>
    </row>
    <row r="68" spans="1:15" ht="12.75">
      <c r="A68" s="51">
        <v>21</v>
      </c>
      <c r="B68" s="53">
        <v>127</v>
      </c>
      <c r="C68" s="55">
        <v>120</v>
      </c>
      <c r="D68" s="51">
        <v>90</v>
      </c>
      <c r="E68" s="66"/>
      <c r="F68" s="67"/>
      <c r="G68" s="48">
        <f>25.4/(Leadscrew_TPI/(($A68/($B68/$C68)/$D68)*(Inter_Gear/Gearbox_1)))</f>
        <v>0.35</v>
      </c>
      <c r="H68" s="46">
        <f>25.4/(Leadscrew_TPI/(($A68/($B68/$C68)/$D68)*(Inter_Gear/Gearbox_2)))</f>
        <v>0.31111111111111106</v>
      </c>
      <c r="I68" s="46">
        <f>25.4/(Leadscrew_TPI/(($A68/($B68/$C68)/$D68)*(Inter_Gear/Gearbox_3)))</f>
        <v>0.29473684210526313</v>
      </c>
      <c r="J68" s="46">
        <f>25.4/(Leadscrew_TPI/(($A68/($B68/$C68)/$D68)*(Inter_Gear/Gearbox_4)))</f>
        <v>0.27999999999999997</v>
      </c>
      <c r="K68" s="46">
        <f>25.4/(Leadscrew_TPI/(($A68/($B68/$C68)/$D68)*(Inter_Gear/Gearbox_5)))</f>
        <v>0.2545454545454545</v>
      </c>
      <c r="L68" s="46">
        <f>25.4/(Leadscrew_TPI/(($A68/($B68/$C68)/$D68)*(Inter_Gear/Gearbox_6)))</f>
        <v>0.24347826086956517</v>
      </c>
      <c r="M68" s="46">
        <f>25.4/(Leadscrew_TPI/(($A68/($B68/$C68)/$D68)*(Inter_Gear/Gearbox_7)))</f>
        <v>0.2333333333333333</v>
      </c>
      <c r="N68" s="46">
        <f>25.4/(Leadscrew_TPI/(($A68/($B68/$C68)/$D68)*(Inter_Gear/Gearbox_8)))</f>
        <v>0.2153846153846154</v>
      </c>
      <c r="O68" s="57">
        <f>25.4/(Leadscrew_TPI/((($A68/($B68/$C68)/$D68))*(Inter_Gear/Gearbox_9)))</f>
        <v>0.19999999999999998</v>
      </c>
    </row>
    <row r="69" spans="1:15" ht="12.75">
      <c r="A69" s="51">
        <v>20</v>
      </c>
      <c r="B69" s="36">
        <v>127</v>
      </c>
      <c r="C69" s="37">
        <v>120</v>
      </c>
      <c r="D69" s="51">
        <v>100</v>
      </c>
      <c r="E69" s="66"/>
      <c r="F69" s="67"/>
      <c r="G69" s="48">
        <f>25.4/(Leadscrew_TPI/(($A69/($B69/$C69)/$D69)*(Inter_Gear/Gearbox_1)))</f>
        <v>0.3</v>
      </c>
      <c r="H69" s="46">
        <f>25.4/(Leadscrew_TPI/(($A69/($B69/$C69)/$D69)*(Inter_Gear/Gearbox_2)))</f>
        <v>0.26666666666666666</v>
      </c>
      <c r="I69" s="46">
        <f>25.4/(Leadscrew_TPI/(($A69/($B69/$C69)/$D69)*(Inter_Gear/Gearbox_3)))</f>
        <v>0.2526315789473684</v>
      </c>
      <c r="J69" s="46">
        <f>25.4/(Leadscrew_TPI/(($A69/($B69/$C69)/$D69)*(Inter_Gear/Gearbox_4)))</f>
        <v>0.24</v>
      </c>
      <c r="K69" s="46">
        <f>25.4/(Leadscrew_TPI/(($A69/($B69/$C69)/$D69)*(Inter_Gear/Gearbox_5)))</f>
        <v>0.2181818181818182</v>
      </c>
      <c r="L69" s="46">
        <f>25.4/(Leadscrew_TPI/(($A69/($B69/$C69)/$D69)*(Inter_Gear/Gearbox_6)))</f>
        <v>0.20869565217391303</v>
      </c>
      <c r="M69" s="56">
        <f>25.4/(Leadscrew_TPI/(($A69/($B69/$C69)/$D69)*(Inter_Gear/Gearbox_7)))</f>
        <v>0.19999999999999998</v>
      </c>
      <c r="N69" s="46">
        <f>25.4/(Leadscrew_TPI/(($A69/($B69/$C69)/$D69)*(Inter_Gear/Gearbox_8)))</f>
        <v>0.1846153846153846</v>
      </c>
      <c r="O69" s="50">
        <f>25.4/(Leadscrew_TPI/((($A69/($B69/$C69)/$D69))*(Inter_Gear/Gearbox_9)))</f>
        <v>0.1714285714285714</v>
      </c>
    </row>
    <row r="70" spans="1:15" ht="12.75">
      <c r="A70" s="51">
        <v>20</v>
      </c>
      <c r="B70" s="36">
        <v>127</v>
      </c>
      <c r="C70" s="37">
        <v>120</v>
      </c>
      <c r="D70" s="36">
        <v>80</v>
      </c>
      <c r="E70" s="66"/>
      <c r="F70" s="67"/>
      <c r="G70" s="46">
        <f>25.4/(Leadscrew_TPI/(($A70/($B70/$C70)/$D70)*(Inter_Gear/Gearbox_1)))</f>
        <v>0.3749999999999999</v>
      </c>
      <c r="H70" s="46">
        <f>25.4/(Leadscrew_TPI/(($A70/($B70/$C70)/$D70)*(Inter_Gear/Gearbox_2)))</f>
        <v>0.33333333333333326</v>
      </c>
      <c r="I70" s="46">
        <f>25.4/(Leadscrew_TPI/(($A70/($B70/$C70)/$D70)*(Inter_Gear/Gearbox_3)))</f>
        <v>0.31578947368421045</v>
      </c>
      <c r="J70" s="48">
        <f>25.4/(Leadscrew_TPI/(($A70/($B70/$C70)/$D70)*(Inter_Gear/Gearbox_4)))</f>
        <v>0.3</v>
      </c>
      <c r="K70" s="46">
        <f>25.4/(Leadscrew_TPI/(($A70/($B70/$C70)/$D70)*(Inter_Gear/Gearbox_5)))</f>
        <v>0.2727272727272727</v>
      </c>
      <c r="L70" s="46">
        <f>25.4/(Leadscrew_TPI/(($A70/($B70/$C70)/$D70)*(Inter_Gear/Gearbox_6)))</f>
        <v>0.26086956521739124</v>
      </c>
      <c r="M70" s="56">
        <f>25.4/(Leadscrew_TPI/(($A70/($B70/$C70)/$D70)*(Inter_Gear/Gearbox_7)))</f>
        <v>0.24999999999999992</v>
      </c>
      <c r="N70" s="46">
        <f>25.4/(Leadscrew_TPI/(($A70/($B70/$C70)/$D70)*(Inter_Gear/Gearbox_8)))</f>
        <v>0.23076923076923073</v>
      </c>
      <c r="O70" s="50">
        <f>25.4/(Leadscrew_TPI/((($A70/($B70/$C70)/$D70))*(Inter_Gear/Gearbox_9)))</f>
        <v>0.21428571428571425</v>
      </c>
    </row>
    <row r="71" spans="1:15" ht="12.75">
      <c r="A71" s="53">
        <v>28</v>
      </c>
      <c r="B71" s="36">
        <v>127</v>
      </c>
      <c r="C71" s="37">
        <v>120</v>
      </c>
      <c r="D71" s="51">
        <v>96</v>
      </c>
      <c r="E71" s="66"/>
      <c r="F71" s="67"/>
      <c r="G71" s="46">
        <f>25.4/(Leadscrew_TPI/(($A71/($B71/$C71)/$D71)*(Inter_Gear/Gearbox_1)))</f>
        <v>0.4375</v>
      </c>
      <c r="H71" s="46">
        <f>25.4/(Leadscrew_TPI/(($A71/($B71/$C71)/$D71)*(Inter_Gear/Gearbox_2)))</f>
        <v>0.38888888888888884</v>
      </c>
      <c r="I71" s="46">
        <f>25.4/(Leadscrew_TPI/(($A71/($B71/$C71)/$D71)*(Inter_Gear/Gearbox_3)))</f>
        <v>0.368421052631579</v>
      </c>
      <c r="J71" s="48">
        <f>25.4/(Leadscrew_TPI/(($A71/($B71/$C71)/$D71)*(Inter_Gear/Gearbox_4)))</f>
        <v>0.35</v>
      </c>
      <c r="K71" s="46">
        <f>25.4/(Leadscrew_TPI/(($A71/($B71/$C71)/$D71)*(Inter_Gear/Gearbox_5)))</f>
        <v>0.3181818181818182</v>
      </c>
      <c r="L71" s="46">
        <f>25.4/(Leadscrew_TPI/(($A71/($B71/$C71)/$D71)*(Inter_Gear/Gearbox_6)))</f>
        <v>0.3043478260869565</v>
      </c>
      <c r="M71" s="46">
        <f>25.4/(Leadscrew_TPI/(($A71/($B71/$C71)/$D71)*(Inter_Gear/Gearbox_7)))</f>
        <v>0.29166666666666663</v>
      </c>
      <c r="N71" s="46">
        <f>25.4/(Leadscrew_TPI/(($A71/($B71/$C71)/$D71)*(Inter_Gear/Gearbox_8)))</f>
        <v>0.2692307692307692</v>
      </c>
      <c r="O71" s="57">
        <f>25.4/(Leadscrew_TPI/((($A71/($B71/$C71)/$D71))*(Inter_Gear/Gearbox_9)))</f>
        <v>0.25</v>
      </c>
    </row>
    <row r="74" spans="1:6" ht="12.75">
      <c r="A74" t="s">
        <v>50</v>
      </c>
      <c r="F74" s="78" t="s">
        <v>52</v>
      </c>
    </row>
    <row r="75" spans="7:15" ht="13.5" thickBot="1">
      <c r="G75" s="30" t="s">
        <v>17</v>
      </c>
      <c r="H75" s="25" t="s">
        <v>18</v>
      </c>
      <c r="I75" s="25" t="s">
        <v>19</v>
      </c>
      <c r="J75" s="25" t="s">
        <v>20</v>
      </c>
      <c r="K75" s="25" t="s">
        <v>21</v>
      </c>
      <c r="L75" s="25" t="s">
        <v>22</v>
      </c>
      <c r="M75" s="25" t="s">
        <v>23</v>
      </c>
      <c r="N75" s="25" t="s">
        <v>24</v>
      </c>
      <c r="O75" s="25" t="s">
        <v>25</v>
      </c>
    </row>
    <row r="76" spans="1:15" ht="12.75">
      <c r="A76" s="36">
        <v>28</v>
      </c>
      <c r="B76" s="36">
        <v>127</v>
      </c>
      <c r="C76" s="37">
        <v>120</v>
      </c>
      <c r="D76" s="36">
        <v>60</v>
      </c>
      <c r="E76" s="38"/>
      <c r="F76" s="38"/>
      <c r="G76" s="46">
        <f>25.4/(Leadscrew_TPI/(($A76/($B76/$C76)/$D76)*(Inter_Gear/Gearbox_1)))</f>
        <v>0.7</v>
      </c>
      <c r="H76" s="46">
        <f>25.4/(Leadscrew_TPI/(($A76/($B76/$C76)/$D76)*(Inter_Gear/Gearbox_2)))</f>
        <v>0.6222222222222221</v>
      </c>
      <c r="I76" s="46">
        <f>25.4/(Leadscrew_TPI/(($A76/($B76/$C76)/$D76)*(Inter_Gear/Gearbox_3)))</f>
        <v>0.5894736842105263</v>
      </c>
      <c r="J76" s="46">
        <f>25.4/(Leadscrew_TPI/(($A76/($B76/$C76)/$D76)*(Inter_Gear/Gearbox_4)))</f>
        <v>0.5599999999999999</v>
      </c>
      <c r="K76" s="46">
        <f>25.4/(Leadscrew_TPI/(($A76/($B76/$C76)/$D76)*(Inter_Gear/Gearbox_5)))</f>
        <v>0.509090909090909</v>
      </c>
      <c r="L76" s="46">
        <f>25.4/(Leadscrew_TPI/(($A76/($B76/$C76)/$D76)*(Inter_Gear/Gearbox_6)))</f>
        <v>0.48695652173913034</v>
      </c>
      <c r="M76" s="46">
        <f>25.4/(Leadscrew_TPI/(($A76/($B76/$C76)/$D76)*(Inter_Gear/Gearbox_7)))</f>
        <v>0.4666666666666666</v>
      </c>
      <c r="N76" s="46">
        <f>25.4/(Leadscrew_TPI/(($A76/($B76/$C76)/$D76)*(Inter_Gear/Gearbox_8)))</f>
        <v>0.4307692307692308</v>
      </c>
      <c r="O76" s="50">
        <f>25.4/(Leadscrew_TPI/((($A76/($B76/$C76)/$D76))*(Inter_Gear/Gearbox_9)))</f>
        <v>0.39999999999999997</v>
      </c>
    </row>
    <row r="77" spans="1:16" ht="12.75">
      <c r="A77" s="81" t="s">
        <v>56</v>
      </c>
      <c r="D77" s="79"/>
      <c r="F77" s="80"/>
      <c r="G77" s="85">
        <f aca="true" t="shared" si="39" ref="G77:O77">G76/(25.4*GearFeed)</f>
        <v>0.008750017500035</v>
      </c>
      <c r="H77" s="85">
        <f t="shared" si="39"/>
        <v>0.007777793333364444</v>
      </c>
      <c r="I77" s="85">
        <f t="shared" si="39"/>
        <v>0.007368435789503158</v>
      </c>
      <c r="J77" s="85">
        <f t="shared" si="39"/>
        <v>0.007000014000028</v>
      </c>
      <c r="K77" s="85">
        <f t="shared" si="39"/>
        <v>0.006363649090934545</v>
      </c>
      <c r="L77" s="85">
        <f t="shared" si="39"/>
        <v>0.0060869686956765215</v>
      </c>
      <c r="M77" s="85">
        <f t="shared" si="39"/>
        <v>0.005833345000023333</v>
      </c>
      <c r="N77" s="85">
        <f t="shared" si="39"/>
        <v>0.005384626153867693</v>
      </c>
      <c r="O77" s="85">
        <f t="shared" si="39"/>
        <v>0.0050000100000200005</v>
      </c>
      <c r="P77" s="24"/>
    </row>
    <row r="78" spans="1:15" ht="12.75">
      <c r="A78" s="3" t="s">
        <v>57</v>
      </c>
      <c r="G78" s="87">
        <f aca="true" t="shared" si="40" ref="G78:O78">G76/GearFeed</f>
        <v>0.222250444500889</v>
      </c>
      <c r="H78" s="87">
        <f t="shared" si="40"/>
        <v>0.19755595066745685</v>
      </c>
      <c r="I78" s="87">
        <f t="shared" si="40"/>
        <v>0.1871582690533802</v>
      </c>
      <c r="J78" s="87">
        <f t="shared" si="40"/>
        <v>0.1778003556007112</v>
      </c>
      <c r="K78" s="87">
        <f t="shared" si="40"/>
        <v>0.16163668690973745</v>
      </c>
      <c r="L78" s="87">
        <f t="shared" si="40"/>
        <v>0.15460900487018361</v>
      </c>
      <c r="M78" s="87">
        <f t="shared" si="40"/>
        <v>0.14816696300059265</v>
      </c>
      <c r="N78" s="87">
        <f t="shared" si="40"/>
        <v>0.1367695043082394</v>
      </c>
      <c r="O78" s="87">
        <f t="shared" si="40"/>
        <v>0.127000254000508</v>
      </c>
    </row>
    <row r="80" ht="12.75">
      <c r="B80" t="s">
        <v>58</v>
      </c>
    </row>
    <row r="81" ht="12.75">
      <c r="B81" t="s">
        <v>59</v>
      </c>
    </row>
    <row r="82" ht="12.75">
      <c r="B82" t="s">
        <v>62</v>
      </c>
    </row>
    <row r="83" ht="12.75">
      <c r="B83" t="s">
        <v>60</v>
      </c>
    </row>
    <row r="84" spans="2:15" ht="13.5" thickBot="1">
      <c r="B84" t="s">
        <v>61</v>
      </c>
      <c r="G84" s="30" t="s">
        <v>17</v>
      </c>
      <c r="H84" s="25" t="s">
        <v>18</v>
      </c>
      <c r="I84" s="25" t="s">
        <v>19</v>
      </c>
      <c r="J84" s="25" t="s">
        <v>20</v>
      </c>
      <c r="K84" s="25" t="s">
        <v>21</v>
      </c>
      <c r="L84" s="25" t="s">
        <v>22</v>
      </c>
      <c r="M84" s="25" t="s">
        <v>23</v>
      </c>
      <c r="N84" s="25" t="s">
        <v>24</v>
      </c>
      <c r="O84" s="25" t="s">
        <v>25</v>
      </c>
    </row>
    <row r="85" spans="1:15" ht="12.75">
      <c r="A85" s="36">
        <v>28</v>
      </c>
      <c r="B85" s="36">
        <v>127</v>
      </c>
      <c r="C85" s="37">
        <v>30</v>
      </c>
      <c r="D85" s="36">
        <v>120</v>
      </c>
      <c r="E85" s="38"/>
      <c r="F85" s="38"/>
      <c r="G85" s="89">
        <f>25.4/(Leadscrew_TPI/(($A85/($B85/$C85)/$D85)*(Inter_Gear/Gearbox_1)))</f>
        <v>0.0875</v>
      </c>
      <c r="H85" s="89">
        <f>25.4/(Leadscrew_TPI/(($A85/($B85/$C85)/$D85)*(Inter_Gear/Gearbox_2)))</f>
        <v>0.07777777777777777</v>
      </c>
      <c r="I85" s="89">
        <f>25.4/(Leadscrew_TPI/(($A85/($B85/$C85)/$D85)*(Inter_Gear/Gearbox_3)))</f>
        <v>0.07368421052631578</v>
      </c>
      <c r="J85" s="89">
        <f>25.4/(Leadscrew_TPI/(($A85/($B85/$C85)/$D85)*(Inter_Gear/Gearbox_4)))</f>
        <v>0.06999999999999999</v>
      </c>
      <c r="K85" s="89">
        <f>25.4/(Leadscrew_TPI/(($A85/($B85/$C85)/$D85)*(Inter_Gear/Gearbox_5)))</f>
        <v>0.06363636363636363</v>
      </c>
      <c r="L85" s="89">
        <f>25.4/(Leadscrew_TPI/(($A85/($B85/$C85)/$D85)*(Inter_Gear/Gearbox_6)))</f>
        <v>0.06086956521739129</v>
      </c>
      <c r="M85" s="89">
        <f>25.4/(Leadscrew_TPI/(($A85/($B85/$C85)/$D85)*(Inter_Gear/Gearbox_7)))</f>
        <v>0.05833333333333333</v>
      </c>
      <c r="N85" s="89">
        <f>25.4/(Leadscrew_TPI/(($A85/($B85/$C85)/$D85)*(Inter_Gear/Gearbox_8)))</f>
        <v>0.05384615384615385</v>
      </c>
      <c r="O85" s="90">
        <f>25.4/(Leadscrew_TPI/((($A85/($B85/$C85)/$D85))*(Inter_Gear/Gearbox_9)))</f>
        <v>0.049999999999999996</v>
      </c>
    </row>
    <row r="86" spans="1:15" ht="12.75">
      <c r="A86" s="81" t="s">
        <v>56</v>
      </c>
      <c r="D86" s="79"/>
      <c r="F86" s="80"/>
      <c r="G86" s="91">
        <f aca="true" t="shared" si="41" ref="G86:O86">G85/(25.4*GearFeed)</f>
        <v>0.001093752187504375</v>
      </c>
      <c r="H86" s="91">
        <f t="shared" si="41"/>
        <v>0.0009722241666705556</v>
      </c>
      <c r="I86" s="91">
        <f t="shared" si="41"/>
        <v>0.0009210544736878947</v>
      </c>
      <c r="J86" s="91">
        <f t="shared" si="41"/>
        <v>0.0008750017500035</v>
      </c>
      <c r="K86" s="91">
        <f t="shared" si="41"/>
        <v>0.0007954561363668182</v>
      </c>
      <c r="L86" s="91">
        <f t="shared" si="41"/>
        <v>0.0007608710869595652</v>
      </c>
      <c r="M86" s="91">
        <f t="shared" si="41"/>
        <v>0.0007291681250029166</v>
      </c>
      <c r="N86" s="91">
        <f t="shared" si="41"/>
        <v>0.0006730782692334616</v>
      </c>
      <c r="O86" s="91">
        <f t="shared" si="41"/>
        <v>0.0006250012500025001</v>
      </c>
    </row>
    <row r="87" spans="1:16" ht="12.75">
      <c r="A87" s="81"/>
      <c r="D87" s="79"/>
      <c r="F87" s="80"/>
      <c r="G87" s="92"/>
      <c r="H87" s="92"/>
      <c r="I87" s="92"/>
      <c r="J87" s="92"/>
      <c r="K87" s="92"/>
      <c r="L87" s="92"/>
      <c r="M87" s="92"/>
      <c r="N87" s="92"/>
      <c r="O87" s="92"/>
      <c r="P87" s="93"/>
    </row>
    <row r="88" spans="1:15" ht="12.75">
      <c r="A88" s="36">
        <v>30</v>
      </c>
      <c r="B88" s="36">
        <v>127</v>
      </c>
      <c r="C88" s="37">
        <v>42</v>
      </c>
      <c r="D88" s="36">
        <v>120</v>
      </c>
      <c r="E88" s="38"/>
      <c r="F88" s="38"/>
      <c r="G88" s="89">
        <f>25.4/(Leadscrew_TPI/(($A88/($B88/$C88)/$D88)*(Inter_Gear/Gearbox_1)))</f>
        <v>0.13125</v>
      </c>
      <c r="H88" s="89">
        <f>25.4/(Leadscrew_TPI/(($A88/($B88/$C88)/$D88)*(Inter_Gear/Gearbox_2)))</f>
        <v>0.11666666666666665</v>
      </c>
      <c r="I88" s="89">
        <f>25.4/(Leadscrew_TPI/(($A88/($B88/$C88)/$D88)*(Inter_Gear/Gearbox_3)))</f>
        <v>0.11052631578947368</v>
      </c>
      <c r="J88" s="89">
        <f>25.4/(Leadscrew_TPI/(($A88/($B88/$C88)/$D88)*(Inter_Gear/Gearbox_4)))</f>
        <v>0.10500000000000001</v>
      </c>
      <c r="K88" s="89">
        <f>25.4/(Leadscrew_TPI/(($A88/($B88/$C88)/$D88)*(Inter_Gear/Gearbox_5)))</f>
        <v>0.09545454545454546</v>
      </c>
      <c r="L88" s="89">
        <f>25.4/(Leadscrew_TPI/(($A88/($B88/$C88)/$D88)*(Inter_Gear/Gearbox_6)))</f>
        <v>0.09130434782608697</v>
      </c>
      <c r="M88" s="89">
        <f>25.4/(Leadscrew_TPI/(($A88/($B88/$C88)/$D88)*(Inter_Gear/Gearbox_7)))</f>
        <v>0.0875</v>
      </c>
      <c r="N88" s="89">
        <f>25.4/(Leadscrew_TPI/(($A88/($B88/$C88)/$D88)*(Inter_Gear/Gearbox_8)))</f>
        <v>0.08076923076923077</v>
      </c>
      <c r="O88" s="90">
        <f>25.4/(Leadscrew_TPI/((($A88/($B88/$C88)/$D88))*(Inter_Gear/Gearbox_9)))</f>
        <v>0.075</v>
      </c>
    </row>
    <row r="89" spans="1:15" ht="12.75">
      <c r="A89" s="81" t="s">
        <v>56</v>
      </c>
      <c r="D89" s="79"/>
      <c r="F89" s="80"/>
      <c r="G89" s="91">
        <f aca="true" t="shared" si="42" ref="G89:O89">G88/(25.4*GearFeed)</f>
        <v>0.0016406282812565628</v>
      </c>
      <c r="H89" s="91">
        <f t="shared" si="42"/>
        <v>0.0014583362500058333</v>
      </c>
      <c r="I89" s="91">
        <f t="shared" si="42"/>
        <v>0.0013815817105318421</v>
      </c>
      <c r="J89" s="91">
        <f t="shared" si="42"/>
        <v>0.0013125026250052504</v>
      </c>
      <c r="K89" s="91">
        <f t="shared" si="42"/>
        <v>0.0011931842045502274</v>
      </c>
      <c r="L89" s="91">
        <f t="shared" si="42"/>
        <v>0.0011413066304393482</v>
      </c>
      <c r="M89" s="91">
        <f t="shared" si="42"/>
        <v>0.001093752187504375</v>
      </c>
      <c r="N89" s="91">
        <f t="shared" si="42"/>
        <v>0.0010096174038501924</v>
      </c>
      <c r="O89" s="91">
        <f t="shared" si="42"/>
        <v>0.0009375018750037501</v>
      </c>
    </row>
    <row r="90" spans="1:15" ht="12.75">
      <c r="A90" s="81"/>
      <c r="D90" s="79"/>
      <c r="F90" s="80"/>
      <c r="G90" s="92"/>
      <c r="H90" s="92"/>
      <c r="I90" s="92"/>
      <c r="J90" s="92"/>
      <c r="K90" s="92"/>
      <c r="L90" s="92"/>
      <c r="M90" s="92"/>
      <c r="N90" s="92"/>
      <c r="O90" s="92"/>
    </row>
    <row r="91" spans="1:15" ht="12.75">
      <c r="A91" s="36">
        <v>36</v>
      </c>
      <c r="B91" s="36">
        <v>127</v>
      </c>
      <c r="C91" s="37">
        <v>60</v>
      </c>
      <c r="D91" s="36">
        <v>120</v>
      </c>
      <c r="E91" s="38"/>
      <c r="F91" s="38"/>
      <c r="G91" s="89">
        <f>25.4/(Leadscrew_TPI/(($A91/($B91/$C91)/$D91)*(Inter_Gear/Gearbox_1)))</f>
        <v>0.225</v>
      </c>
      <c r="H91" s="89">
        <f>25.4/(Leadscrew_TPI/(($A91/($B91/$C91)/$D91)*(Inter_Gear/Gearbox_2)))</f>
        <v>0.19999999999999998</v>
      </c>
      <c r="I91" s="89">
        <f>25.4/(Leadscrew_TPI/(($A91/($B91/$C91)/$D91)*(Inter_Gear/Gearbox_3)))</f>
        <v>0.1894736842105263</v>
      </c>
      <c r="J91" s="89">
        <f>25.4/(Leadscrew_TPI/(($A91/($B91/$C91)/$D91)*(Inter_Gear/Gearbox_4)))</f>
        <v>0.18</v>
      </c>
      <c r="K91" s="89">
        <f>25.4/(Leadscrew_TPI/(($A91/($B91/$C91)/$D91)*(Inter_Gear/Gearbox_5)))</f>
        <v>0.16363636363636366</v>
      </c>
      <c r="L91" s="89">
        <f>25.4/(Leadscrew_TPI/(($A91/($B91/$C91)/$D91)*(Inter_Gear/Gearbox_6)))</f>
        <v>0.15652173913043477</v>
      </c>
      <c r="M91" s="89">
        <f>25.4/(Leadscrew_TPI/(($A91/($B91/$C91)/$D91)*(Inter_Gear/Gearbox_7)))</f>
        <v>0.15</v>
      </c>
      <c r="N91" s="89">
        <f>25.4/(Leadscrew_TPI/(($A91/($B91/$C91)/$D91)*(Inter_Gear/Gearbox_8)))</f>
        <v>0.13846153846153847</v>
      </c>
      <c r="O91" s="90">
        <f>25.4/(Leadscrew_TPI/((($A91/($B91/$C91)/$D91))*(Inter_Gear/Gearbox_9)))</f>
        <v>0.12857142857142856</v>
      </c>
    </row>
    <row r="92" spans="1:15" ht="12.75">
      <c r="A92" s="81" t="s">
        <v>56</v>
      </c>
      <c r="D92" s="79"/>
      <c r="F92" s="80"/>
      <c r="G92" s="91">
        <f aca="true" t="shared" si="43" ref="G92:O92">G91/(25.4*GearFeed)</f>
        <v>0.0028125056250112505</v>
      </c>
      <c r="H92" s="91">
        <f t="shared" si="43"/>
        <v>0.0025000050000100003</v>
      </c>
      <c r="I92" s="91">
        <f t="shared" si="43"/>
        <v>0.002368425789483158</v>
      </c>
      <c r="J92" s="91">
        <f t="shared" si="43"/>
        <v>0.0022500045000090002</v>
      </c>
      <c r="K92" s="91">
        <f t="shared" si="43"/>
        <v>0.002045458636371819</v>
      </c>
      <c r="L92" s="91">
        <f t="shared" si="43"/>
        <v>0.0019565256521817394</v>
      </c>
      <c r="M92" s="91">
        <f t="shared" si="43"/>
        <v>0.0018750037500075002</v>
      </c>
      <c r="N92" s="91">
        <f t="shared" si="43"/>
        <v>0.0017307726923146156</v>
      </c>
      <c r="O92" s="91">
        <f t="shared" si="43"/>
        <v>0.0016071460714350001</v>
      </c>
    </row>
    <row r="93" spans="1:16" ht="12.75">
      <c r="A93" s="81"/>
      <c r="D93" s="79"/>
      <c r="F93" s="80"/>
      <c r="G93" s="92"/>
      <c r="H93" s="92"/>
      <c r="I93" s="92"/>
      <c r="J93" s="92"/>
      <c r="K93" s="92"/>
      <c r="L93" s="92"/>
      <c r="M93" s="92"/>
      <c r="N93" s="92"/>
      <c r="O93" s="92"/>
      <c r="P93" s="93"/>
    </row>
    <row r="94" spans="1:15" ht="12.75">
      <c r="A94" s="36">
        <v>45</v>
      </c>
      <c r="B94" s="36">
        <v>127</v>
      </c>
      <c r="C94" s="37">
        <v>80</v>
      </c>
      <c r="D94" s="36">
        <v>120</v>
      </c>
      <c r="E94" s="38"/>
      <c r="F94" s="38"/>
      <c r="G94" s="89">
        <f>25.4/(Leadscrew_TPI/(($A94/($B94/$C94)/$D94)*(Inter_Gear/Gearbox_1)))</f>
        <v>0.37500000000000006</v>
      </c>
      <c r="H94" s="89">
        <f>25.4/(Leadscrew_TPI/(($A94/($B94/$C94)/$D94)*(Inter_Gear/Gearbox_2)))</f>
        <v>0.3333333333333333</v>
      </c>
      <c r="I94" s="89">
        <f>25.4/(Leadscrew_TPI/(($A94/($B94/$C94)/$D94)*(Inter_Gear/Gearbox_3)))</f>
        <v>0.3157894736842105</v>
      </c>
      <c r="J94" s="89">
        <f>25.4/(Leadscrew_TPI/(($A94/($B94/$C94)/$D94)*(Inter_Gear/Gearbox_4)))</f>
        <v>0.30000000000000004</v>
      </c>
      <c r="K94" s="89">
        <f>25.4/(Leadscrew_TPI/(($A94/($B94/$C94)/$D94)*(Inter_Gear/Gearbox_5)))</f>
        <v>0.2727272727272727</v>
      </c>
      <c r="L94" s="89">
        <f>25.4/(Leadscrew_TPI/(($A94/($B94/$C94)/$D94)*(Inter_Gear/Gearbox_6)))</f>
        <v>0.2608695652173913</v>
      </c>
      <c r="M94" s="89">
        <f>25.4/(Leadscrew_TPI/(($A94/($B94/$C94)/$D94)*(Inter_Gear/Gearbox_7)))</f>
        <v>0.25</v>
      </c>
      <c r="N94" s="89">
        <f>25.4/(Leadscrew_TPI/(($A94/($B94/$C94)/$D94)*(Inter_Gear/Gearbox_8)))</f>
        <v>0.23076923076923078</v>
      </c>
      <c r="O94" s="90">
        <f>25.4/(Leadscrew_TPI/((($A94/($B94/$C94)/$D94))*(Inter_Gear/Gearbox_9)))</f>
        <v>0.21428571428571427</v>
      </c>
    </row>
    <row r="95" spans="1:15" ht="12.75">
      <c r="A95" s="81" t="s">
        <v>56</v>
      </c>
      <c r="D95" s="79"/>
      <c r="F95" s="80"/>
      <c r="G95" s="91">
        <f aca="true" t="shared" si="44" ref="G95:O95">G94/(25.4*GearFeed)</f>
        <v>0.004687509375018752</v>
      </c>
      <c r="H95" s="91">
        <f t="shared" si="44"/>
        <v>0.004166675000016667</v>
      </c>
      <c r="I95" s="91">
        <f t="shared" si="44"/>
        <v>0.003947376315805264</v>
      </c>
      <c r="J95" s="91">
        <f t="shared" si="44"/>
        <v>0.003750007500015001</v>
      </c>
      <c r="K95" s="91">
        <f t="shared" si="44"/>
        <v>0.0034090977272863638</v>
      </c>
      <c r="L95" s="91">
        <f t="shared" si="44"/>
        <v>0.0032608760869695655</v>
      </c>
      <c r="M95" s="91">
        <f t="shared" si="44"/>
        <v>0.0031250062500125003</v>
      </c>
      <c r="N95" s="91">
        <f t="shared" si="44"/>
        <v>0.0028846211538576926</v>
      </c>
      <c r="O95" s="91">
        <f t="shared" si="44"/>
        <v>0.002678576785725</v>
      </c>
    </row>
    <row r="96" spans="1:15" ht="12.75">
      <c r="A96" s="81"/>
      <c r="D96" s="79"/>
      <c r="F96" s="80"/>
      <c r="G96" s="92"/>
      <c r="H96" s="92"/>
      <c r="I96" s="92"/>
      <c r="J96" s="92"/>
      <c r="K96" s="92"/>
      <c r="L96" s="92"/>
      <c r="M96" s="92"/>
      <c r="N96" s="92"/>
      <c r="O96" s="92"/>
    </row>
    <row r="97" spans="1:15" ht="12.75">
      <c r="A97" s="36">
        <v>28</v>
      </c>
      <c r="B97" s="36">
        <v>127</v>
      </c>
      <c r="C97" s="37">
        <v>120</v>
      </c>
      <c r="D97" s="36">
        <v>60</v>
      </c>
      <c r="E97" s="38"/>
      <c r="F97" s="38"/>
      <c r="G97" s="89">
        <f>25.4/(Leadscrew_TPI/(($A97/($B97/$C97)/$D97)*(Inter_Gear/Gearbox_1)))</f>
        <v>0.7</v>
      </c>
      <c r="H97" s="89">
        <f>25.4/(Leadscrew_TPI/(($A97/($B97/$C97)/$D97)*(Inter_Gear/Gearbox_2)))</f>
        <v>0.6222222222222221</v>
      </c>
      <c r="I97" s="89">
        <f>25.4/(Leadscrew_TPI/(($A97/($B97/$C97)/$D97)*(Inter_Gear/Gearbox_3)))</f>
        <v>0.5894736842105263</v>
      </c>
      <c r="J97" s="89">
        <f>25.4/(Leadscrew_TPI/(($A97/($B97/$C97)/$D97)*(Inter_Gear/Gearbox_4)))</f>
        <v>0.5599999999999999</v>
      </c>
      <c r="K97" s="89">
        <f>25.4/(Leadscrew_TPI/(($A97/($B97/$C97)/$D97)*(Inter_Gear/Gearbox_5)))</f>
        <v>0.509090909090909</v>
      </c>
      <c r="L97" s="89">
        <f>25.4/(Leadscrew_TPI/(($A97/($B97/$C97)/$D97)*(Inter_Gear/Gearbox_6)))</f>
        <v>0.48695652173913034</v>
      </c>
      <c r="M97" s="89">
        <f>25.4/(Leadscrew_TPI/(($A97/($B97/$C97)/$D97)*(Inter_Gear/Gearbox_7)))</f>
        <v>0.4666666666666666</v>
      </c>
      <c r="N97" s="89">
        <f>25.4/(Leadscrew_TPI/(($A97/($B97/$C97)/$D97)*(Inter_Gear/Gearbox_8)))</f>
        <v>0.4307692307692308</v>
      </c>
      <c r="O97" s="90">
        <f>25.4/(Leadscrew_TPI/((($A97/($B97/$C97)/$D97))*(Inter_Gear/Gearbox_9)))</f>
        <v>0.39999999999999997</v>
      </c>
    </row>
    <row r="98" spans="1:15" ht="12.75">
      <c r="A98" s="81" t="s">
        <v>56</v>
      </c>
      <c r="D98" s="79"/>
      <c r="F98" s="80"/>
      <c r="G98" s="91">
        <f aca="true" t="shared" si="45" ref="G98:O98">G97/(25.4*GearFeed)</f>
        <v>0.008750017500035</v>
      </c>
      <c r="H98" s="91">
        <f t="shared" si="45"/>
        <v>0.007777793333364444</v>
      </c>
      <c r="I98" s="91">
        <f t="shared" si="45"/>
        <v>0.007368435789503158</v>
      </c>
      <c r="J98" s="91">
        <f t="shared" si="45"/>
        <v>0.007000014000028</v>
      </c>
      <c r="K98" s="91">
        <f t="shared" si="45"/>
        <v>0.006363649090934545</v>
      </c>
      <c r="L98" s="91">
        <f t="shared" si="45"/>
        <v>0.0060869686956765215</v>
      </c>
      <c r="M98" s="91">
        <f t="shared" si="45"/>
        <v>0.005833345000023333</v>
      </c>
      <c r="N98" s="91">
        <f t="shared" si="45"/>
        <v>0.005384626153867693</v>
      </c>
      <c r="O98" s="91">
        <f t="shared" si="45"/>
        <v>0.0050000100000200005</v>
      </c>
    </row>
  </sheetData>
  <printOptions/>
  <pageMargins left="0.7479166666666667" right="0.7479166666666667" top="0.9840277777777777" bottom="0.9840277777777778" header="0.5" footer="0.5118055555555556"/>
  <pageSetup horizontalDpi="300" verticalDpi="300" orientation="landscape" r:id="rId1"/>
  <headerFooter alignWithMargins="0">
    <oddHeader>&amp;LSteve Bedair&amp;C9 x 20 Lathe&amp;R11-2002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Almega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9x20 Threading Chart</dc:title>
  <dc:subject/>
  <dc:creator>Robert Broughton</dc:creator>
  <cp:keywords/>
  <dc:description/>
  <cp:lastModifiedBy>Robert Broughton</cp:lastModifiedBy>
  <cp:lastPrinted>2012-09-10T01:53:38Z</cp:lastPrinted>
  <dcterms:created xsi:type="dcterms:W3CDTF">2012-09-19T07:24:48Z</dcterms:created>
  <dcterms:modified xsi:type="dcterms:W3CDTF">2012-09-19T07:24:48Z</dcterms:modified>
  <cp:category/>
  <cp:version/>
  <cp:contentType/>
  <cp:contentStatus/>
</cp:coreProperties>
</file>